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esktop\My documents\Swedish EPA project\Pollinators\"/>
    </mc:Choice>
  </mc:AlternateContent>
  <xr:revisionPtr revIDLastSave="0" documentId="13_ncr:1_{BD252AA1-BE62-4DC4-B9E5-32A473DC566C}" xr6:coauthVersionLast="36" xr6:coauthVersionMax="36" xr10:uidLastSave="{00000000-0000-0000-0000-000000000000}"/>
  <bookViews>
    <workbookView xWindow="0" yWindow="0" windowWidth="28800" windowHeight="13425" xr2:uid="{75C879A4-EFE2-47AA-998F-5DF7DB876137}"/>
  </bookViews>
  <sheets>
    <sheet name="Total costs" sheetId="11" r:id="rId1"/>
    <sheet name="Itemized costs" sheetId="10" r:id="rId2"/>
    <sheet name="Parnassius apollo" sheetId="1" r:id="rId3"/>
    <sheet name="Pieris napi" sheetId="2" r:id="rId4"/>
    <sheet name="Hymenoptera priority 1-3" sheetId="3" r:id="rId5"/>
    <sheet name="Hymenoptera priority 4-6" sheetId="4" r:id="rId6"/>
    <sheet name="Hymenoptera priority 7-10" sheetId="5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0" l="1"/>
  <c r="F34" i="10"/>
  <c r="B36" i="10"/>
  <c r="J73" i="10"/>
  <c r="G73" i="10"/>
  <c r="D73" i="10"/>
  <c r="J71" i="10"/>
  <c r="G71" i="10"/>
  <c r="D71" i="10"/>
  <c r="J70" i="10"/>
  <c r="J57" i="10" s="1"/>
  <c r="G70" i="10"/>
  <c r="G57" i="10" s="1"/>
  <c r="D70" i="10"/>
  <c r="D57" i="10" s="1"/>
  <c r="D72" i="10" s="1"/>
  <c r="J69" i="10"/>
  <c r="G69" i="10"/>
  <c r="D69" i="10"/>
  <c r="I66" i="10"/>
  <c r="F66" i="10"/>
  <c r="C66" i="10"/>
  <c r="I65" i="10"/>
  <c r="F65" i="10"/>
  <c r="C65" i="10"/>
  <c r="I64" i="10"/>
  <c r="F64" i="10"/>
  <c r="C64" i="10"/>
  <c r="I63" i="10"/>
  <c r="F63" i="10"/>
  <c r="C63" i="10"/>
  <c r="I62" i="10"/>
  <c r="F62" i="10"/>
  <c r="C62" i="10"/>
  <c r="I61" i="10"/>
  <c r="F61" i="10"/>
  <c r="C61" i="10"/>
  <c r="I60" i="10"/>
  <c r="I57" i="10" s="1"/>
  <c r="H57" i="10" s="1"/>
  <c r="F60" i="10"/>
  <c r="F57" i="10" s="1"/>
  <c r="E57" i="10" s="1"/>
  <c r="C60" i="10"/>
  <c r="C57" i="10"/>
  <c r="J56" i="10"/>
  <c r="G56" i="10"/>
  <c r="D56" i="10"/>
  <c r="J55" i="10"/>
  <c r="G55" i="10"/>
  <c r="G42" i="10" s="1"/>
  <c r="D55" i="10"/>
  <c r="D42" i="10" s="1"/>
  <c r="I51" i="10"/>
  <c r="F51" i="10"/>
  <c r="C51" i="10"/>
  <c r="I50" i="10"/>
  <c r="F50" i="10"/>
  <c r="C50" i="10"/>
  <c r="F49" i="10"/>
  <c r="I48" i="10"/>
  <c r="I42" i="10" s="1"/>
  <c r="F48" i="10"/>
  <c r="C48" i="10"/>
  <c r="F47" i="10"/>
  <c r="I44" i="10"/>
  <c r="F44" i="10"/>
  <c r="C44" i="10"/>
  <c r="F43" i="10"/>
  <c r="F42" i="10" s="1"/>
  <c r="C43" i="10"/>
  <c r="C42" i="10" s="1"/>
  <c r="J42" i="10"/>
  <c r="J35" i="10"/>
  <c r="G35" i="10"/>
  <c r="D35" i="10"/>
  <c r="J33" i="10"/>
  <c r="G33" i="10"/>
  <c r="G19" i="10" s="1"/>
  <c r="D33" i="10"/>
  <c r="J32" i="10"/>
  <c r="G32" i="10"/>
  <c r="D32" i="10"/>
  <c r="J31" i="10"/>
  <c r="G31" i="10"/>
  <c r="D31" i="10"/>
  <c r="D19" i="10" s="1"/>
  <c r="D34" i="10" s="1"/>
  <c r="I28" i="10"/>
  <c r="F28" i="10"/>
  <c r="C28" i="10"/>
  <c r="I27" i="10"/>
  <c r="F27" i="10"/>
  <c r="C27" i="10"/>
  <c r="I26" i="10"/>
  <c r="F26" i="10"/>
  <c r="C26" i="10"/>
  <c r="I25" i="10"/>
  <c r="F25" i="10"/>
  <c r="C25" i="10"/>
  <c r="I24" i="10"/>
  <c r="F24" i="10"/>
  <c r="C24" i="10"/>
  <c r="I23" i="10"/>
  <c r="F23" i="10"/>
  <c r="C23" i="10"/>
  <c r="C19" i="10" s="1"/>
  <c r="B19" i="10" s="1"/>
  <c r="I22" i="10"/>
  <c r="F22" i="10"/>
  <c r="F19" i="10" s="1"/>
  <c r="C22" i="10"/>
  <c r="I20" i="10"/>
  <c r="F20" i="10"/>
  <c r="C20" i="10"/>
  <c r="J19" i="10"/>
  <c r="I19" i="10"/>
  <c r="H19" i="10" s="1"/>
  <c r="J18" i="10"/>
  <c r="J4" i="10" s="1"/>
  <c r="G18" i="10"/>
  <c r="D18" i="10"/>
  <c r="G17" i="10"/>
  <c r="I13" i="10"/>
  <c r="F13" i="10"/>
  <c r="C13" i="10"/>
  <c r="I12" i="10"/>
  <c r="F12" i="10"/>
  <c r="C12" i="10"/>
  <c r="F11" i="10"/>
  <c r="I10" i="10"/>
  <c r="F10" i="10"/>
  <c r="C10" i="10"/>
  <c r="F9" i="10"/>
  <c r="I6" i="10"/>
  <c r="I4" i="10" s="1"/>
  <c r="F6" i="10"/>
  <c r="C6" i="10"/>
  <c r="C4" i="10" s="1"/>
  <c r="F5" i="10"/>
  <c r="C5" i="10"/>
  <c r="G4" i="10"/>
  <c r="E4" i="10" s="1"/>
  <c r="F4" i="10"/>
  <c r="D4" i="10"/>
  <c r="J74" i="10" l="1"/>
  <c r="H74" i="10" s="1"/>
  <c r="J72" i="10"/>
  <c r="G34" i="10"/>
  <c r="G36" i="10" s="1"/>
  <c r="E36" i="10" s="1"/>
  <c r="C72" i="10"/>
  <c r="B42" i="10"/>
  <c r="H42" i="10"/>
  <c r="I72" i="10"/>
  <c r="G72" i="10"/>
  <c r="G74" i="10" s="1"/>
  <c r="E74" i="10" s="1"/>
  <c r="F72" i="10"/>
  <c r="E42" i="10"/>
  <c r="H72" i="10"/>
  <c r="B4" i="10"/>
  <c r="C34" i="10"/>
  <c r="C36" i="10" s="1"/>
  <c r="D36" i="10"/>
  <c r="B34" i="10"/>
  <c r="D74" i="10"/>
  <c r="B74" i="10" s="1"/>
  <c r="H4" i="10"/>
  <c r="I34" i="10"/>
  <c r="I36" i="10" s="1"/>
  <c r="J34" i="10"/>
  <c r="F36" i="10"/>
  <c r="B57" i="10"/>
  <c r="B72" i="10"/>
  <c r="E72" i="10" l="1"/>
  <c r="E34" i="10"/>
  <c r="J36" i="10"/>
  <c r="H36" i="10" s="1"/>
  <c r="H34" i="10"/>
  <c r="C28" i="5" l="1"/>
  <c r="C27" i="5"/>
  <c r="C28" i="4" l="1"/>
  <c r="C27" i="4"/>
  <c r="C28" i="3" l="1"/>
  <c r="C27" i="3"/>
  <c r="C27" i="2" l="1"/>
  <c r="C26" i="2"/>
  <c r="C26" i="1"/>
  <c r="C25" i="1"/>
</calcChain>
</file>

<file path=xl/sharedStrings.xml><?xml version="1.0" encoding="utf-8"?>
<sst xmlns="http://schemas.openxmlformats.org/spreadsheetml/2006/main" count="654" uniqueCount="237">
  <si>
    <r>
      <t>-</t>
    </r>
    <r>
      <rPr>
        <sz val="7"/>
        <color theme="1"/>
        <rFont val="Times New Roman"/>
        <family val="1"/>
      </rPr>
      <t xml:space="preserve">          </t>
    </r>
    <r>
      <rPr>
        <sz val="11"/>
        <color theme="1"/>
        <rFont val="Calibri"/>
        <family val="2"/>
        <scheme val="minor"/>
      </rPr>
      <t>how many</t>
    </r>
  </si>
  <si>
    <r>
      <t>-</t>
    </r>
    <r>
      <rPr>
        <sz val="7"/>
        <color theme="1"/>
        <rFont val="Times New Roman"/>
        <family val="1"/>
      </rPr>
      <t xml:space="preserve">          </t>
    </r>
    <r>
      <rPr>
        <sz val="11"/>
        <color theme="1"/>
        <rFont val="Calibri"/>
        <family val="2"/>
        <scheme val="minor"/>
      </rPr>
      <t>from which locations</t>
    </r>
  </si>
  <si>
    <r>
      <t>-</t>
    </r>
    <r>
      <rPr>
        <sz val="7"/>
        <color theme="1"/>
        <rFont val="Times New Roman"/>
        <family val="1"/>
      </rPr>
      <t xml:space="preserve">          </t>
    </r>
    <r>
      <rPr>
        <sz val="11"/>
        <color theme="1"/>
        <rFont val="Calibri"/>
        <family val="2"/>
        <scheme val="minor"/>
      </rPr>
      <t>from which time points</t>
    </r>
  </si>
  <si>
    <t>Number of sampling locations</t>
  </si>
  <si>
    <t>Sample size per location</t>
  </si>
  <si>
    <t>How often to sample</t>
  </si>
  <si>
    <t>what markers/type of sequencing</t>
  </si>
  <si>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>should museum specimens be included into the baseline? (bad quality of DNA preservation)</t>
    </r>
  </si>
  <si>
    <t>2 (mainland + Gotland population)</t>
  </si>
  <si>
    <t>3 (+1 additional)</t>
  </si>
  <si>
    <t>4 (+2 additional)</t>
  </si>
  <si>
    <t>yearly</t>
  </si>
  <si>
    <t>individual genomes</t>
  </si>
  <si>
    <t>yes</t>
  </si>
  <si>
    <t>4 (2 per location)</t>
  </si>
  <si>
    <t>12 (4 per location)</t>
  </si>
  <si>
    <t>40 (10 per location)</t>
  </si>
  <si>
    <t>modern (mainland + Gotland where Apollo still exists)</t>
  </si>
  <si>
    <t>historical (now extinct) + modern</t>
  </si>
  <si>
    <t>1900s + 1950s + 1980s</t>
  </si>
  <si>
    <t>Period of employment</t>
  </si>
  <si>
    <t>all year around</t>
  </si>
  <si>
    <t>purchase of freezers for data storage</t>
  </si>
  <si>
    <t>purchase of hard drives for data storage</t>
  </si>
  <si>
    <t>Estimated costs</t>
  </si>
  <si>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 xml:space="preserve">How many people for: </t>
    </r>
  </si>
  <si>
    <t>2 (4 in total)</t>
  </si>
  <si>
    <t>5 (15 in total)</t>
  </si>
  <si>
    <t>10 (40 in total)</t>
  </si>
  <si>
    <t>train or plane travel costs should be comparable to renting a car</t>
  </si>
  <si>
    <r>
      <t>2</t>
    </r>
    <r>
      <rPr>
        <sz val="11"/>
        <color rgb="FFFF0000"/>
        <rFont val="Calibri"/>
        <family val="2"/>
        <scheme val="minor"/>
      </rPr>
      <t xml:space="preserve"> 4</t>
    </r>
  </si>
  <si>
    <t>1 program leader + 1 person for field work/DNA extraction/analysis all year around</t>
  </si>
  <si>
    <r>
      <t xml:space="preserve">40 samples </t>
    </r>
    <r>
      <rPr>
        <sz val="11"/>
        <color theme="1"/>
        <rFont val="Calibri"/>
        <family val="2"/>
      </rPr>
      <t xml:space="preserve">× </t>
    </r>
    <r>
      <rPr>
        <sz val="11"/>
        <color theme="1"/>
        <rFont val="Calibri"/>
        <family val="2"/>
        <scheme val="minor"/>
      </rPr>
      <t>40 SEK = 1600 SEK (40 SEK per sample)</t>
    </r>
  </si>
  <si>
    <r>
      <t xml:space="preserve">15 samples </t>
    </r>
    <r>
      <rPr>
        <sz val="11"/>
        <color theme="1"/>
        <rFont val="Calibri"/>
        <family val="2"/>
      </rPr>
      <t xml:space="preserve">× </t>
    </r>
    <r>
      <rPr>
        <sz val="11"/>
        <color theme="1"/>
        <rFont val="Calibri"/>
        <family val="2"/>
        <scheme val="minor"/>
      </rPr>
      <t>40 SEK = 600 SEK (40 SEK per sample)</t>
    </r>
  </si>
  <si>
    <r>
      <t xml:space="preserve">4 samples </t>
    </r>
    <r>
      <rPr>
        <sz val="11"/>
        <color theme="1"/>
        <rFont val="Calibri"/>
        <family val="2"/>
      </rPr>
      <t xml:space="preserve">× </t>
    </r>
    <r>
      <rPr>
        <sz val="11"/>
        <color theme="1"/>
        <rFont val="Calibri"/>
        <family val="2"/>
        <scheme val="minor"/>
      </rPr>
      <t>40 SEK = 160 SEK (40 SEK per sample)</t>
    </r>
  </si>
  <si>
    <r>
      <t xml:space="preserve">4 samples </t>
    </r>
    <r>
      <rPr>
        <sz val="11"/>
        <color theme="1"/>
        <rFont val="Calibri"/>
        <family val="2"/>
      </rPr>
      <t xml:space="preserve">× 2500 SEK = 10 000 SEK </t>
    </r>
    <r>
      <rPr>
        <sz val="11"/>
        <color theme="1"/>
        <rFont val="Calibri"/>
        <family val="2"/>
        <scheme val="minor"/>
      </rPr>
      <t>(2500 SEK per sample)</t>
    </r>
  </si>
  <si>
    <t>15 samples × 2500 SEK = 37 500 SEK (2500 SEK per sample)</t>
  </si>
  <si>
    <t>40 samples × 2500 SEK = 100 000 SEK (2500 SEK per sample)</t>
  </si>
  <si>
    <t>50 000 SEK</t>
  </si>
  <si>
    <t>any additional costs:</t>
  </si>
  <si>
    <r>
      <t xml:space="preserve">6 </t>
    </r>
    <r>
      <rPr>
        <b/>
        <sz val="11"/>
        <color rgb="FFFF0000"/>
        <rFont val="Calibri"/>
        <family val="2"/>
        <scheme val="minor"/>
      </rPr>
      <t>5</t>
    </r>
  </si>
  <si>
    <t>9 (+ 3 additional)</t>
  </si>
  <si>
    <t>12 (+ 6 additional)</t>
  </si>
  <si>
    <t>20 (120 in total)</t>
  </si>
  <si>
    <t>20 (180 in total)</t>
  </si>
  <si>
    <t>20 (400 in total)</t>
  </si>
  <si>
    <r>
      <t>-</t>
    </r>
    <r>
      <rPr>
        <sz val="7"/>
        <color theme="1"/>
        <rFont val="Times New Roman"/>
        <family val="1"/>
      </rPr>
      <t xml:space="preserve">          </t>
    </r>
    <r>
      <rPr>
        <sz val="11"/>
        <color theme="1"/>
        <rFont val="Calibri"/>
        <family val="2"/>
        <scheme val="minor"/>
      </rPr>
      <t>field collection</t>
    </r>
    <r>
      <rPr>
        <b/>
        <sz val="11"/>
        <color rgb="FFFF0000"/>
        <rFont val="Calibri"/>
        <family val="2"/>
        <scheme val="minor"/>
      </rPr>
      <t xml:space="preserve"> 6</t>
    </r>
  </si>
  <si>
    <r>
      <t>-</t>
    </r>
    <r>
      <rPr>
        <sz val="7"/>
        <color theme="1"/>
        <rFont val="Times New Roman"/>
        <family val="1"/>
      </rPr>
      <t xml:space="preserve">          </t>
    </r>
    <r>
      <rPr>
        <sz val="11"/>
        <color theme="1"/>
        <rFont val="Calibri"/>
        <family val="2"/>
        <scheme val="minor"/>
      </rPr>
      <t>DNA extraction</t>
    </r>
    <r>
      <rPr>
        <b/>
        <sz val="11"/>
        <color rgb="FFFF0000"/>
        <rFont val="Calibri"/>
        <family val="2"/>
        <scheme val="minor"/>
      </rPr>
      <t xml:space="preserve"> 6</t>
    </r>
  </si>
  <si>
    <r>
      <t>-</t>
    </r>
    <r>
      <rPr>
        <sz val="7"/>
        <color theme="1"/>
        <rFont val="Times New Roman"/>
        <family val="1"/>
      </rPr>
      <t xml:space="preserve">          </t>
    </r>
    <r>
      <rPr>
        <sz val="11"/>
        <color theme="1"/>
        <rFont val="Calibri"/>
        <family val="2"/>
        <scheme val="minor"/>
      </rPr>
      <t>analysis</t>
    </r>
    <r>
      <rPr>
        <b/>
        <sz val="11"/>
        <color rgb="FFFF0000"/>
        <rFont val="Calibri"/>
        <family val="2"/>
        <scheme val="minor"/>
      </rPr>
      <t xml:space="preserve"> 6</t>
    </r>
  </si>
  <si>
    <r>
      <t>-</t>
    </r>
    <r>
      <rPr>
        <sz val="7"/>
        <color theme="1"/>
        <rFont val="Times New Roman"/>
        <family val="1"/>
      </rPr>
      <t xml:space="preserve">          </t>
    </r>
    <r>
      <rPr>
        <sz val="11"/>
        <color theme="1"/>
        <rFont val="Calibri"/>
        <family val="2"/>
        <scheme val="minor"/>
      </rPr>
      <t xml:space="preserve">field collection </t>
    </r>
    <r>
      <rPr>
        <b/>
        <sz val="11"/>
        <color rgb="FFFF0000"/>
        <rFont val="Calibri"/>
        <family val="2"/>
        <scheme val="minor"/>
      </rPr>
      <t>5</t>
    </r>
  </si>
  <si>
    <r>
      <t>-</t>
    </r>
    <r>
      <rPr>
        <sz val="7"/>
        <color theme="1"/>
        <rFont val="Times New Roman"/>
        <family val="1"/>
      </rPr>
      <t xml:space="preserve">          </t>
    </r>
    <r>
      <rPr>
        <sz val="11"/>
        <color theme="1"/>
        <rFont val="Calibri"/>
        <family val="2"/>
        <scheme val="minor"/>
      </rPr>
      <t xml:space="preserve">DNA extraction from wing tissue (non-destructive method) </t>
    </r>
    <r>
      <rPr>
        <b/>
        <sz val="11"/>
        <color rgb="FFFF0000"/>
        <rFont val="Calibri"/>
        <family val="2"/>
        <scheme val="minor"/>
      </rPr>
      <t>5</t>
    </r>
  </si>
  <si>
    <r>
      <t>-</t>
    </r>
    <r>
      <rPr>
        <sz val="7"/>
        <color theme="1"/>
        <rFont val="Times New Roman"/>
        <family val="1"/>
      </rPr>
      <t xml:space="preserve">          </t>
    </r>
    <r>
      <rPr>
        <sz val="11"/>
        <color theme="1"/>
        <rFont val="Calibri"/>
        <family val="2"/>
        <scheme val="minor"/>
      </rPr>
      <t xml:space="preserve">analysis </t>
    </r>
    <r>
      <rPr>
        <b/>
        <sz val="11"/>
        <color rgb="FFFF0000"/>
        <rFont val="Calibri"/>
        <family val="2"/>
        <scheme val="minor"/>
      </rPr>
      <t>5</t>
    </r>
  </si>
  <si>
    <t>1 program leader + 1 person for field work/DNA extraction/analysis/integration with Artdatabanken/ and work with museum samples all year around</t>
  </si>
  <si>
    <t>whole genome pool-seq</t>
  </si>
  <si>
    <t>yes, individual-level whole genome sequencing</t>
  </si>
  <si>
    <r>
      <t>-</t>
    </r>
    <r>
      <rPr>
        <sz val="7"/>
        <color theme="1"/>
        <rFont val="Times New Roman"/>
        <family val="1"/>
      </rPr>
      <t xml:space="preserve">          </t>
    </r>
    <r>
      <rPr>
        <sz val="11"/>
        <color theme="1"/>
        <rFont val="Calibri"/>
        <family val="2"/>
        <scheme val="minor"/>
      </rPr>
      <t>samles per location</t>
    </r>
  </si>
  <si>
    <r>
      <t>-</t>
    </r>
    <r>
      <rPr>
        <sz val="7"/>
        <color theme="1"/>
        <rFont val="Times New Roman"/>
        <family val="1"/>
      </rPr>
      <t xml:space="preserve">          </t>
    </r>
    <r>
      <rPr>
        <sz val="11"/>
        <color theme="1"/>
        <rFont val="Calibri"/>
        <family val="2"/>
        <scheme val="minor"/>
      </rPr>
      <t>from which locations (same as modern locations)</t>
    </r>
  </si>
  <si>
    <t>1900s + 1950s</t>
  </si>
  <si>
    <t>10 (120 in total)</t>
  </si>
  <si>
    <t>10 (180 in total)</t>
  </si>
  <si>
    <t>20 (480 in total)</t>
  </si>
  <si>
    <r>
      <t>any additional costs:</t>
    </r>
    <r>
      <rPr>
        <b/>
        <sz val="11"/>
        <color rgb="FFFF0000"/>
        <rFont val="Calibri"/>
        <family val="2"/>
        <scheme val="minor"/>
      </rPr>
      <t xml:space="preserve"> 6</t>
    </r>
  </si>
  <si>
    <r>
      <t xml:space="preserve">120 samples </t>
    </r>
    <r>
      <rPr>
        <sz val="11"/>
        <color theme="1"/>
        <rFont val="Calibri"/>
        <family val="2"/>
      </rPr>
      <t xml:space="preserve">× </t>
    </r>
    <r>
      <rPr>
        <sz val="11"/>
        <color theme="1"/>
        <rFont val="Calibri"/>
        <family val="2"/>
        <scheme val="minor"/>
      </rPr>
      <t>40 SEK = 4800 SEK (40 SEK per sample)</t>
    </r>
  </si>
  <si>
    <r>
      <t xml:space="preserve">180 samples </t>
    </r>
    <r>
      <rPr>
        <sz val="11"/>
        <color theme="1"/>
        <rFont val="Calibri"/>
        <family val="2"/>
      </rPr>
      <t xml:space="preserve">× </t>
    </r>
    <r>
      <rPr>
        <sz val="11"/>
        <color theme="1"/>
        <rFont val="Calibri"/>
        <family val="2"/>
        <scheme val="minor"/>
      </rPr>
      <t>40 SEK = 7200 SEK (40 SEK per sample)</t>
    </r>
  </si>
  <si>
    <r>
      <t xml:space="preserve">400 samples </t>
    </r>
    <r>
      <rPr>
        <sz val="11"/>
        <color theme="1"/>
        <rFont val="Calibri"/>
        <family val="2"/>
      </rPr>
      <t xml:space="preserve">× </t>
    </r>
    <r>
      <rPr>
        <sz val="11"/>
        <color theme="1"/>
        <rFont val="Calibri"/>
        <family val="2"/>
        <scheme val="minor"/>
      </rPr>
      <t>40 SEK = 16000 SEK (40 SEK per sample)</t>
    </r>
  </si>
  <si>
    <r>
      <t xml:space="preserve">6 pools </t>
    </r>
    <r>
      <rPr>
        <sz val="11"/>
        <color theme="1"/>
        <rFont val="Calibri"/>
        <family val="2"/>
      </rPr>
      <t xml:space="preserve">× 3100 SEK = 18600 SEK </t>
    </r>
    <r>
      <rPr>
        <sz val="11"/>
        <color theme="1"/>
        <rFont val="Calibri"/>
        <family val="2"/>
        <scheme val="minor"/>
      </rPr>
      <t>(3100 SEK per pool)</t>
    </r>
  </si>
  <si>
    <t>9 pools × 3100 SEK = 27900 SEK (3100 SEK per pool)</t>
  </si>
  <si>
    <t>12 pools × 3100 SEK = 37200 SEK (3100 SEK per pool)</t>
  </si>
  <si>
    <t>The costs cover both field work, DNA extraction, analysis and work with museum samples. + 5-15 % of work time for the PI</t>
  </si>
  <si>
    <t>can be the same people/equipment as for  P. napi</t>
  </si>
  <si>
    <t>can be the same people/equipment as for P. apollo</t>
  </si>
  <si>
    <r>
      <t xml:space="preserve">3Tb </t>
    </r>
    <r>
      <rPr>
        <sz val="11"/>
        <rFont val="Calibri"/>
        <family val="2"/>
      </rPr>
      <t>× 1000 SEK = 3000 SEK (the first year)</t>
    </r>
    <r>
      <rPr>
        <b/>
        <sz val="11"/>
        <color rgb="FFFF0000"/>
        <rFont val="Calibri"/>
        <family val="2"/>
        <scheme val="minor"/>
      </rPr>
      <t xml:space="preserve"> 6</t>
    </r>
  </si>
  <si>
    <r>
      <t>6Tb × 1000 SEK = 6000 SEK (the first year)</t>
    </r>
    <r>
      <rPr>
        <b/>
        <sz val="11"/>
        <color rgb="FFFF0000"/>
        <rFont val="Calibri"/>
        <family val="2"/>
        <scheme val="minor"/>
      </rPr>
      <t xml:space="preserve"> 6</t>
    </r>
  </si>
  <si>
    <r>
      <t>10Tb × 1000 SEK = 10 000 SEK (the first year)</t>
    </r>
    <r>
      <rPr>
        <b/>
        <sz val="11"/>
        <color rgb="FFFF0000"/>
        <rFont val="Calibri"/>
        <family val="2"/>
        <scheme val="minor"/>
      </rPr>
      <t xml:space="preserve"> 6</t>
    </r>
  </si>
  <si>
    <t>PI costs/year 10% time, SEK</t>
  </si>
  <si>
    <t>PI costs/year 15% time, SEK</t>
  </si>
  <si>
    <r>
      <t xml:space="preserve">600 000 SEK per person </t>
    </r>
    <r>
      <rPr>
        <sz val="11"/>
        <color theme="1"/>
        <rFont val="Calibri"/>
        <family val="2"/>
      </rPr>
      <t xml:space="preserve">× </t>
    </r>
    <r>
      <rPr>
        <sz val="11"/>
        <color theme="1"/>
        <rFont val="Calibri"/>
        <family val="2"/>
        <scheme val="minor"/>
      </rPr>
      <t>year + 146 839 SEK per PI 10% of time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3, 6</t>
    </r>
  </si>
  <si>
    <r>
      <t>600 000 SEK per person × year + 146 839 SEK per PI 10% of time</t>
    </r>
    <r>
      <rPr>
        <b/>
        <sz val="11"/>
        <color rgb="FFFF0000"/>
        <rFont val="Calibri"/>
        <family val="2"/>
        <scheme val="minor"/>
      </rPr>
      <t xml:space="preserve"> 3, 6</t>
    </r>
  </si>
  <si>
    <r>
      <t xml:space="preserve">600 000 SEK per person </t>
    </r>
    <r>
      <rPr>
        <sz val="11"/>
        <color theme="1"/>
        <rFont val="Calibri"/>
        <family val="2"/>
      </rPr>
      <t xml:space="preserve">× </t>
    </r>
    <r>
      <rPr>
        <sz val="11"/>
        <color theme="1"/>
        <rFont val="Calibri"/>
        <family val="2"/>
        <scheme val="minor"/>
      </rPr>
      <t xml:space="preserve">year + 220 258 SEK per PI 15% of time </t>
    </r>
    <r>
      <rPr>
        <b/>
        <sz val="11"/>
        <color rgb="FFFF0000"/>
        <rFont val="Calibri"/>
        <family val="2"/>
        <scheme val="minor"/>
      </rPr>
      <t>3, 7</t>
    </r>
  </si>
  <si>
    <r>
      <t xml:space="preserve">600 000 SEK per person </t>
    </r>
    <r>
      <rPr>
        <sz val="11"/>
        <color theme="1"/>
        <rFont val="Calibri"/>
        <family val="2"/>
      </rPr>
      <t xml:space="preserve">× </t>
    </r>
    <r>
      <rPr>
        <sz val="11"/>
        <color theme="1"/>
        <rFont val="Calibri"/>
        <family val="2"/>
        <scheme val="minor"/>
      </rPr>
      <t>year + 146 839 SEK per PI 10% of time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3, 7</t>
    </r>
  </si>
  <si>
    <r>
      <t>600 000 SEK per person × year + 146 839 SEK per PI 10% of time</t>
    </r>
    <r>
      <rPr>
        <b/>
        <sz val="11"/>
        <color rgb="FFFF0000"/>
        <rFont val="Calibri"/>
        <family val="2"/>
        <scheme val="minor"/>
      </rPr>
      <t xml:space="preserve"> 3, 7</t>
    </r>
  </si>
  <si>
    <r>
      <t xml:space="preserve">600 000 SEK per person </t>
    </r>
    <r>
      <rPr>
        <sz val="11"/>
        <color theme="1"/>
        <rFont val="Calibri"/>
        <family val="2"/>
      </rPr>
      <t xml:space="preserve">× </t>
    </r>
    <r>
      <rPr>
        <sz val="11"/>
        <color theme="1"/>
        <rFont val="Calibri"/>
        <family val="2"/>
        <scheme val="minor"/>
      </rPr>
      <t xml:space="preserve">year + 220 258 SEK per PI 15% of time </t>
    </r>
    <r>
      <rPr>
        <b/>
        <sz val="11"/>
        <color rgb="FFFF0000"/>
        <rFont val="Calibri"/>
        <family val="2"/>
        <scheme val="minor"/>
      </rPr>
      <t>3, 8</t>
    </r>
  </si>
  <si>
    <t>the 6 locations correspond to already sampled populations for which whole-genome sequencing has already been done in C. Wheat's lab (Abisko, Kiruna, Lulea, Umea, Sundsval, Stockholm, Skåne)</t>
  </si>
  <si>
    <t>(including 48% of indirect costs and 52.2% of social costs)</t>
  </si>
  <si>
    <t>&lt; 1900s + 1930/60s + 1970/90s</t>
  </si>
  <si>
    <t>10 (270 in total)</t>
  </si>
  <si>
    <t>10 (360 in total)</t>
  </si>
  <si>
    <t>calculated for all Hymenoptera spp together: 1 program leader + 4 persons for field work/DNA extraction/analysis/integration with Artdatabanken/ and work with museum samples all year around</t>
  </si>
  <si>
    <t>calculated for all Hymenoptera spp together: 1 program leader + 3 persons for field work/DNA extraction/analysis/integration with Artdatabanken/ and work with museum samples all year around</t>
  </si>
  <si>
    <t>calculated for all Hymenoptera spp together: 1 program leader + 2 persons for field work/DNA extraction/analysis/integration with Artdatabanken/ and work with museum samples all year around</t>
  </si>
  <si>
    <r>
      <t>4</t>
    </r>
    <r>
      <rPr>
        <b/>
        <sz val="11"/>
        <color rgb="FFFF0000"/>
        <rFont val="Calibri"/>
        <family val="2"/>
        <scheme val="minor"/>
      </rPr>
      <t xml:space="preserve"> 10</t>
    </r>
  </si>
  <si>
    <t>Total taking into accound overlap in costs if monitoring is run for all Hymenoptera spp simulraneousely, preparation of own libraries</t>
  </si>
  <si>
    <t>Total taking into accound overlap in costs if monitoring is run for all Hymenoptera spp simulraneousely, preparation of libraries by SciLifeLab</t>
  </si>
  <si>
    <r>
      <t xml:space="preserve">600 000 SEK per person </t>
    </r>
    <r>
      <rPr>
        <sz val="11"/>
        <color theme="1"/>
        <rFont val="Calibri"/>
        <family val="2"/>
      </rPr>
      <t xml:space="preserve">× </t>
    </r>
    <r>
      <rPr>
        <sz val="11"/>
        <color theme="1"/>
        <rFont val="Calibri"/>
        <family val="2"/>
        <scheme val="minor"/>
      </rPr>
      <t>year + 220 258 SEK per PI 15% of time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4, 8</t>
    </r>
  </si>
  <si>
    <r>
      <t>600 000 SEK per person × year + 220 258 SEK per PI 15% of time</t>
    </r>
    <r>
      <rPr>
        <b/>
        <sz val="11"/>
        <color rgb="FFFF0000"/>
        <rFont val="Calibri"/>
        <family val="2"/>
        <scheme val="minor"/>
      </rPr>
      <t xml:space="preserve"> 8, 9</t>
    </r>
  </si>
  <si>
    <r>
      <t xml:space="preserve">600 000 SEK per person </t>
    </r>
    <r>
      <rPr>
        <sz val="11"/>
        <color theme="1"/>
        <rFont val="Calibri"/>
        <family val="2"/>
      </rPr>
      <t xml:space="preserve">× </t>
    </r>
    <r>
      <rPr>
        <sz val="11"/>
        <color theme="1"/>
        <rFont val="Calibri"/>
        <family val="2"/>
        <scheme val="minor"/>
      </rPr>
      <t xml:space="preserve">year + 220 258 SEK per PI 15% of time </t>
    </r>
    <r>
      <rPr>
        <b/>
        <sz val="11"/>
        <color rgb="FFFF0000"/>
        <rFont val="Calibri"/>
        <family val="2"/>
        <scheme val="minor"/>
      </rPr>
      <t>8, 10</t>
    </r>
  </si>
  <si>
    <r>
      <t xml:space="preserve">2 </t>
    </r>
    <r>
      <rPr>
        <b/>
        <sz val="11"/>
        <color rgb="FFFF0000"/>
        <rFont val="Calibri"/>
        <family val="2"/>
        <scheme val="minor"/>
      </rPr>
      <t>5</t>
    </r>
  </si>
  <si>
    <t>4 (8 in total)</t>
  </si>
  <si>
    <t>6 (12 in total)</t>
  </si>
  <si>
    <r>
      <t>2</t>
    </r>
    <r>
      <rPr>
        <b/>
        <sz val="11"/>
        <color rgb="FFFF0000"/>
        <rFont val="Calibri"/>
        <family val="2"/>
        <scheme val="minor"/>
      </rPr>
      <t xml:space="preserve"> 5</t>
    </r>
  </si>
  <si>
    <t>the locations for B. lapidarius correspond to already sampled populations for which whole-genome sequencing has already been done by David Diez, NRM (southern Sweden); for other species - 2 northern populations</t>
  </si>
  <si>
    <r>
      <t>3</t>
    </r>
    <r>
      <rPr>
        <b/>
        <sz val="11"/>
        <color rgb="FFFF0000"/>
        <rFont val="Calibri"/>
        <family val="2"/>
        <scheme val="minor"/>
      </rPr>
      <t xml:space="preserve"> 9</t>
    </r>
  </si>
  <si>
    <t>8 samples × 2500 SEK = 20 000 SEK (2500 SEK per sample)</t>
  </si>
  <si>
    <t>12 samples × 2500 SEK = 30 000 SEK (2500 SEK per sample)</t>
  </si>
  <si>
    <t>2 (8 in total)</t>
  </si>
  <si>
    <t>2 (12 in total)</t>
  </si>
  <si>
    <t>can be the same people/equipment as for the rest of Hymenoptera species</t>
  </si>
  <si>
    <t>costs for field trips for all Hymenoptera species with mountainous northern distribution overlap, as well as the costs for the southern species overlap</t>
  </si>
  <si>
    <r>
      <t xml:space="preserve">8 samples </t>
    </r>
    <r>
      <rPr>
        <sz val="11"/>
        <color theme="1"/>
        <rFont val="Calibri"/>
        <family val="2"/>
      </rPr>
      <t xml:space="preserve">× </t>
    </r>
    <r>
      <rPr>
        <sz val="11"/>
        <color theme="1"/>
        <rFont val="Calibri"/>
        <family val="2"/>
        <scheme val="minor"/>
      </rPr>
      <t>40 SEK = 320 SEK (40 SEK per sample)</t>
    </r>
  </si>
  <si>
    <r>
      <t xml:space="preserve">12 samples </t>
    </r>
    <r>
      <rPr>
        <sz val="11"/>
        <color theme="1"/>
        <rFont val="Calibri"/>
        <family val="2"/>
      </rPr>
      <t xml:space="preserve">× </t>
    </r>
    <r>
      <rPr>
        <sz val="11"/>
        <color theme="1"/>
        <rFont val="Calibri"/>
        <family val="2"/>
        <scheme val="minor"/>
      </rPr>
      <t>40 SEK = 480 SEK (40 SEK per sample)</t>
    </r>
  </si>
  <si>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>should museum specimens be included into the baseline? (bad quality of DNA preservation)</t>
    </r>
    <r>
      <rPr>
        <b/>
        <sz val="11"/>
        <color rgb="FFFF0000"/>
        <rFont val="Calibri"/>
        <family val="2"/>
        <scheme val="minor"/>
      </rPr>
      <t xml:space="preserve"> 11</t>
    </r>
  </si>
  <si>
    <r>
      <t xml:space="preserve">Genetic work on </t>
    </r>
    <r>
      <rPr>
        <i/>
        <sz val="11"/>
        <color theme="1"/>
        <rFont val="Calibri"/>
        <family val="2"/>
        <scheme val="minor"/>
      </rPr>
      <t>B. hortorum</t>
    </r>
    <r>
      <rPr>
        <sz val="11"/>
        <color theme="1"/>
        <rFont val="Calibri"/>
        <family val="2"/>
        <scheme val="minor"/>
      </rPr>
      <t xml:space="preserve"> and </t>
    </r>
    <r>
      <rPr>
        <i/>
        <sz val="11"/>
        <color theme="1"/>
        <rFont val="Calibri"/>
        <family val="2"/>
        <scheme val="minor"/>
      </rPr>
      <t>pascuorum</t>
    </r>
    <r>
      <rPr>
        <sz val="11"/>
        <color theme="1"/>
        <rFont val="Calibri"/>
        <family val="2"/>
        <scheme val="minor"/>
      </rPr>
      <t xml:space="preserve"> has already been started by David Diez (NRM); therefore historic samples of only </t>
    </r>
    <r>
      <rPr>
        <i/>
        <sz val="11"/>
        <color theme="1"/>
        <rFont val="Calibri"/>
        <family val="2"/>
        <scheme val="minor"/>
      </rPr>
      <t>B. soroeensis</t>
    </r>
    <r>
      <rPr>
        <sz val="11"/>
        <color theme="1"/>
        <rFont val="Calibri"/>
        <family val="2"/>
        <scheme val="minor"/>
      </rPr>
      <t xml:space="preserve"> will come at additional cost</t>
    </r>
  </si>
  <si>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>should museum specimens be included into the baseline? (bad quality of DNA preservation)</t>
    </r>
    <r>
      <rPr>
        <sz val="11"/>
        <color theme="1"/>
        <rFont val="Calibri"/>
        <family val="1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12</t>
    </r>
  </si>
  <si>
    <r>
      <t xml:space="preserve">Genetic work on </t>
    </r>
    <r>
      <rPr>
        <i/>
        <sz val="11"/>
        <color theme="1"/>
        <rFont val="Calibri"/>
        <family val="2"/>
        <scheme val="minor"/>
      </rPr>
      <t>B. lapidarius</t>
    </r>
    <r>
      <rPr>
        <sz val="11"/>
        <color theme="1"/>
        <rFont val="Calibri"/>
        <family val="2"/>
        <scheme val="minor"/>
      </rPr>
      <t xml:space="preserve"> has already been started by David Diez (NRM); therefore historic samples of this species will come at no additional cost</t>
    </r>
  </si>
  <si>
    <r>
      <t xml:space="preserve">3 </t>
    </r>
    <r>
      <rPr>
        <b/>
        <sz val="11"/>
        <color rgb="FFFF0000"/>
        <rFont val="Calibri"/>
        <family val="2"/>
        <scheme val="minor"/>
      </rPr>
      <t>5</t>
    </r>
  </si>
  <si>
    <t>10 (20 in total)</t>
  </si>
  <si>
    <t>10 (30 in total)</t>
  </si>
  <si>
    <r>
      <t>3</t>
    </r>
    <r>
      <rPr>
        <b/>
        <sz val="11"/>
        <color rgb="FFFF0000"/>
        <rFont val="Calibri"/>
        <family val="2"/>
        <scheme val="minor"/>
      </rPr>
      <t xml:space="preserve"> 5</t>
    </r>
  </si>
  <si>
    <r>
      <t xml:space="preserve">20 samples </t>
    </r>
    <r>
      <rPr>
        <sz val="11"/>
        <color theme="1"/>
        <rFont val="Calibri"/>
        <family val="2"/>
      </rPr>
      <t xml:space="preserve">× </t>
    </r>
    <r>
      <rPr>
        <sz val="11"/>
        <color theme="1"/>
        <rFont val="Calibri"/>
        <family val="2"/>
        <scheme val="minor"/>
      </rPr>
      <t>40 SEK = 800 SEK (40 SEK per sample)</t>
    </r>
  </si>
  <si>
    <r>
      <t xml:space="preserve">30 samples </t>
    </r>
    <r>
      <rPr>
        <sz val="11"/>
        <color theme="1"/>
        <rFont val="Calibri"/>
        <family val="2"/>
      </rPr>
      <t xml:space="preserve">× </t>
    </r>
    <r>
      <rPr>
        <sz val="11"/>
        <color theme="1"/>
        <rFont val="Calibri"/>
        <family val="2"/>
        <scheme val="minor"/>
      </rPr>
      <t>40 SEK = 1200 SEK (40 SEK per sample)</t>
    </r>
  </si>
  <si>
    <r>
      <t xml:space="preserve">30 samples </t>
    </r>
    <r>
      <rPr>
        <sz val="11"/>
        <color theme="1"/>
        <rFont val="Calibri"/>
        <family val="2"/>
      </rPr>
      <t xml:space="preserve">× </t>
    </r>
    <r>
      <rPr>
        <sz val="11"/>
        <color theme="1"/>
        <rFont val="Calibri"/>
        <family val="2"/>
        <scheme val="minor"/>
      </rPr>
      <t>40 SEK =1200 SEK (40 SEK per sample)</t>
    </r>
  </si>
  <si>
    <r>
      <t xml:space="preserve">2 pools </t>
    </r>
    <r>
      <rPr>
        <sz val="11"/>
        <color theme="1"/>
        <rFont val="Calibri"/>
        <family val="2"/>
      </rPr>
      <t>× 3100 SEK = 6200 SEK</t>
    </r>
    <r>
      <rPr>
        <sz val="11"/>
        <color theme="1"/>
        <rFont val="Calibri"/>
        <family val="2"/>
        <scheme val="minor"/>
      </rPr>
      <t>(3100 SEK per sample)</t>
    </r>
  </si>
  <si>
    <t>3 pools × 3100 SEK = 9300 SEK (3100 SEK per sample)</t>
  </si>
  <si>
    <t>3 pooles × 3100 SEK = 9300 SEK (3100 SEK per sample)</t>
  </si>
  <si>
    <t>hotel/hostel (5 nights × 3500 SEK for 2 persons = 17500 SEK) + car renting (≈ 6500 SEK) 1</t>
  </si>
  <si>
    <t>hotel/hostel (6 nights × 3500 SEK for 2 persons = 21000 SEK) + car renting (≈ 6500 SEK) 1</t>
  </si>
  <si>
    <r>
      <t xml:space="preserve">hotel/hostel (3 nights </t>
    </r>
    <r>
      <rPr>
        <sz val="11"/>
        <color theme="1"/>
        <rFont val="Calibri"/>
        <family val="2"/>
      </rPr>
      <t xml:space="preserve">× </t>
    </r>
    <r>
      <rPr>
        <sz val="11"/>
        <color theme="1"/>
        <rFont val="Calibri"/>
        <family val="2"/>
        <scheme val="minor"/>
      </rPr>
      <t>3500 SEK for 2 persons = 10 500 SEK) + car renting (</t>
    </r>
    <r>
      <rPr>
        <sz val="11"/>
        <color theme="1"/>
        <rFont val="Calibri"/>
        <family val="2"/>
      </rPr>
      <t>≈ 6500 SEK)</t>
    </r>
    <r>
      <rPr>
        <sz val="11"/>
        <color rgb="FFFF0000"/>
        <rFont val="Calibri"/>
        <family val="2"/>
      </rPr>
      <t xml:space="preserve"> 1</t>
    </r>
  </si>
  <si>
    <r>
      <t xml:space="preserve">hotel/hostel (6 nights </t>
    </r>
    <r>
      <rPr>
        <sz val="11"/>
        <color theme="1"/>
        <rFont val="Calibri"/>
        <family val="2"/>
      </rPr>
      <t>×  3500 SEK for 2 persons</t>
    </r>
    <r>
      <rPr>
        <sz val="11"/>
        <color theme="1"/>
        <rFont val="Calibri"/>
        <family val="2"/>
        <scheme val="minor"/>
      </rPr>
      <t xml:space="preserve"> = 21 000 SEK) + car renting (</t>
    </r>
    <r>
      <rPr>
        <sz val="11"/>
        <color theme="1"/>
        <rFont val="Calibri"/>
        <family val="2"/>
      </rPr>
      <t>≈ 6500 SEK)</t>
    </r>
    <r>
      <rPr>
        <sz val="11"/>
        <color rgb="FFFF0000"/>
        <rFont val="Calibri"/>
        <family val="2"/>
      </rPr>
      <t xml:space="preserve"> </t>
    </r>
    <r>
      <rPr>
        <b/>
        <sz val="11"/>
        <color rgb="FFFF0000"/>
        <rFont val="Calibri"/>
        <family val="2"/>
      </rPr>
      <t>1</t>
    </r>
    <r>
      <rPr>
        <b/>
        <sz val="11"/>
        <color rgb="FFFF0000"/>
        <rFont val="Calibri"/>
        <family val="2"/>
        <scheme val="minor"/>
      </rPr>
      <t>, 6</t>
    </r>
  </si>
  <si>
    <r>
      <t>hotel/hostel (9 nights ×  3500 SEK for 2 persons = 31 500 SEK) + car renting (≈ 6500 SEK)</t>
    </r>
    <r>
      <rPr>
        <b/>
        <sz val="11"/>
        <color rgb="FFFF0000"/>
        <rFont val="Calibri"/>
        <family val="2"/>
        <scheme val="minor"/>
      </rPr>
      <t>1, 6</t>
    </r>
  </si>
  <si>
    <r>
      <t>hotel/hostel (12 nights ×  3500 SEK for 2 persons = 42 000 SEK) + car renting (≈ 6500 SEK)</t>
    </r>
    <r>
      <rPr>
        <b/>
        <sz val="11"/>
        <color rgb="FFFF0000"/>
        <rFont val="Calibri"/>
        <family val="2"/>
        <scheme val="minor"/>
      </rPr>
      <t>1, 6</t>
    </r>
  </si>
  <si>
    <r>
      <t>hotel/hostel (6 nights ×  3500 SEK for 2 persons = 21 000 SEK) + car renting (</t>
    </r>
    <r>
      <rPr>
        <sz val="11"/>
        <color theme="1"/>
        <rFont val="Calibri"/>
        <family val="2"/>
      </rPr>
      <t>≈ 6500 SEK)</t>
    </r>
    <r>
      <rPr>
        <sz val="11"/>
        <color rgb="FFFF0000"/>
        <rFont val="Calibri"/>
        <family val="2"/>
      </rPr>
      <t xml:space="preserve"> </t>
    </r>
    <r>
      <rPr>
        <b/>
        <sz val="11"/>
        <color rgb="FFFF0000"/>
        <rFont val="Calibri"/>
        <family val="2"/>
      </rPr>
      <t>1</t>
    </r>
    <r>
      <rPr>
        <b/>
        <sz val="11"/>
        <color rgb="FFFF0000"/>
        <rFont val="Calibri"/>
        <family val="2"/>
        <scheme val="minor"/>
      </rPr>
      <t>, 6</t>
    </r>
  </si>
  <si>
    <r>
      <t>hotel/hostel (12 nights ×  2 × 3500 SEK for 4 persons = 84 000 SEK) + car renting (≈ 6500 SEK)</t>
    </r>
    <r>
      <rPr>
        <b/>
        <sz val="11"/>
        <color rgb="FFFF0000"/>
        <rFont val="Calibri"/>
        <family val="2"/>
        <scheme val="minor"/>
      </rPr>
      <t>1, 6</t>
    </r>
  </si>
  <si>
    <r>
      <t>hotel/hostel (9 nights ×  5000 SEK for 3 persons = 45 000 SEK) + car renting (≈ 6500 SEK)</t>
    </r>
    <r>
      <rPr>
        <b/>
        <sz val="11"/>
        <color rgb="FFFF0000"/>
        <rFont val="Calibri"/>
        <family val="2"/>
        <scheme val="minor"/>
      </rPr>
      <t>1, 6</t>
    </r>
  </si>
  <si>
    <r>
      <t>hotel/hostel (6 nights ×  3500 SEK for 2 persons = 21 000 SEK) + car renting (</t>
    </r>
    <r>
      <rPr>
        <sz val="11"/>
        <color theme="1"/>
        <rFont val="Calibri"/>
        <family val="2"/>
      </rPr>
      <t>≈ 6500 SEK)</t>
    </r>
    <r>
      <rPr>
        <sz val="11"/>
        <color rgb="FFFF0000"/>
        <rFont val="Calibri"/>
        <family val="2"/>
      </rPr>
      <t xml:space="preserve"> </t>
    </r>
    <r>
      <rPr>
        <b/>
        <sz val="11"/>
        <color rgb="FFFF0000"/>
        <rFont val="Calibri"/>
        <family val="2"/>
      </rPr>
      <t>1</t>
    </r>
    <r>
      <rPr>
        <b/>
        <sz val="11"/>
        <color rgb="FFFF0000"/>
        <rFont val="Calibri"/>
        <family val="2"/>
        <scheme val="minor"/>
      </rPr>
      <t>, 6, 11</t>
    </r>
  </si>
  <si>
    <r>
      <t xml:space="preserve">hotel/hostel (9 nights ×  5000 SEK for 3 persons = 45 000 SEK) + car renting (≈ 6500 SEK) </t>
    </r>
    <r>
      <rPr>
        <b/>
        <sz val="11"/>
        <color rgb="FFFF0000"/>
        <rFont val="Calibri"/>
        <family val="2"/>
        <scheme val="minor"/>
      </rPr>
      <t>1, 6, 11</t>
    </r>
  </si>
  <si>
    <r>
      <t xml:space="preserve">hotel/hostel (12 nights ×  2 × 3500 SEK for 4 persons = 84 000 SEK) + car renting (≈ 6500 SEK) </t>
    </r>
    <r>
      <rPr>
        <b/>
        <sz val="11"/>
        <color rgb="FFFF0000"/>
        <rFont val="Calibri"/>
        <family val="2"/>
        <scheme val="minor"/>
      </rPr>
      <t>1, 6, 11</t>
    </r>
  </si>
  <si>
    <t xml:space="preserve"> </t>
  </si>
  <si>
    <t>example from the agreement catalog with Nordic Biolabs AB</t>
  </si>
  <si>
    <r>
      <t xml:space="preserve">113 600 SEK (84 000 SEK NuAire, Chest ULT Freezer 420L, NuAire, from Nordic Biolabs Aktiebolag + 8000 SEK 1-year service contract + 27 × 800 SEK for 27 freezer racks) </t>
    </r>
    <r>
      <rPr>
        <b/>
        <sz val="11"/>
        <color rgb="FFFF0000"/>
        <rFont val="Calibri"/>
        <family val="2"/>
        <scheme val="minor"/>
      </rPr>
      <t>13</t>
    </r>
  </si>
  <si>
    <r>
      <t xml:space="preserve">113 600 SEK (84 000 SEK NuAire, Chest ULT Freezer 420L, NuAire, from Nordic Biolabs Aktiebolag + 8000 SEK 1-year service contract + 27 × 800 SEK for 27 freezer racks) </t>
    </r>
    <r>
      <rPr>
        <b/>
        <sz val="11"/>
        <color rgb="FFFF0000"/>
        <rFont val="Calibri"/>
        <family val="2"/>
        <scheme val="minor"/>
      </rPr>
      <t>12</t>
    </r>
  </si>
  <si>
    <r>
      <t xml:space="preserve">113 600 SEK (84 000 SEK NuAire, Chest ULT Freezer 420L, NuAire, from Nordic Biolabs Aktiebolag + 8000 SEK 1-year service contract + 27 × 800 SEK for 27 freezer racks) </t>
    </r>
    <r>
      <rPr>
        <b/>
        <sz val="11"/>
        <color rgb="FFFF0000"/>
        <rFont val="Calibri"/>
        <family val="2"/>
        <scheme val="minor"/>
      </rPr>
      <t>8</t>
    </r>
  </si>
  <si>
    <r>
      <t xml:space="preserve">113 600 SEK (84 000 SEK NuAire, Chest ULT Freezer 420L, NuAire, from Nordic Biolabs Aktiebolag + 8000 SEK 1-year service contract + 27 × 800 SEK for 27 freezer racks) </t>
    </r>
    <r>
      <rPr>
        <b/>
        <sz val="11"/>
        <color rgb="FFFF0000"/>
        <rFont val="Calibri"/>
        <family val="2"/>
        <scheme val="minor"/>
      </rPr>
      <t>9</t>
    </r>
  </si>
  <si>
    <t>2 172 798 SEK (of which 1 606 918 SEK yearly costs and 565 880 SEK one-time costs)</t>
  </si>
  <si>
    <t>3 117 858 SEK (of which 2 340 978 SEK yearly costs and 776 880 SEK one-time costs)</t>
  </si>
  <si>
    <t>4 063 318 SEK (of which 3 095 238 SEK yearly costs and 968 080 SEK one-time costs)</t>
  </si>
  <si>
    <t>Pollinator group</t>
  </si>
  <si>
    <t>Hymenoptera</t>
  </si>
  <si>
    <t>Lepidoptera</t>
  </si>
  <si>
    <t>Yearly costs</t>
  </si>
  <si>
    <t>One-time costs</t>
  </si>
  <si>
    <t>2 820 798 SEK (of which 1 606 918 SEK yearly costs and 1 213 880 SEK one-time costs)</t>
  </si>
  <si>
    <t>4 038 738 SEK (of which 2 340 978 SEK yearly costs and 1 697 760 SEK one-time costs)</t>
  </si>
  <si>
    <t>5 281 318 SEK (of which 3 095 238 SEK yearly costs and 2 186 080 SEK one-time costs)</t>
  </si>
  <si>
    <t>Total</t>
  </si>
  <si>
    <t>500 000 SEK</t>
  </si>
  <si>
    <t>+ additionally generating reference genomes for all Hymenoptera withou a reference genome</t>
  </si>
  <si>
    <t>1 000 000 SEK</t>
  </si>
  <si>
    <t>exemple car renting price is taken from Hertz (First Rent A Car Aktiebolag) with which SU has an agreement</t>
  </si>
  <si>
    <t>+ one-time additional costs for reference genomes for Hymenoptera if their sequencing will be decided upon</t>
  </si>
  <si>
    <t>Cost estimations for Parnassius apollo (Apollo butterfly)</t>
  </si>
  <si>
    <t>Cost estimations for White-veined white (Pieris napi)</t>
  </si>
  <si>
    <r>
      <t xml:space="preserve">Cost estimations for priority 1-3 Bombus (hortorum, </t>
    </r>
    <r>
      <rPr>
        <b/>
        <sz val="11"/>
        <rFont val="Calibri"/>
        <family val="2"/>
        <scheme val="minor"/>
      </rPr>
      <t>soroeensis, pa</t>
    </r>
    <r>
      <rPr>
        <b/>
        <sz val="11"/>
        <color theme="1"/>
        <rFont val="Calibri"/>
        <family val="2"/>
        <scheme val="minor"/>
      </rPr>
      <t>scuorum)</t>
    </r>
  </si>
  <si>
    <r>
      <t>Cost estimations for priority 4-6 Bombus (</t>
    </r>
    <r>
      <rPr>
        <b/>
        <sz val="11"/>
        <rFont val="Calibri"/>
        <family val="2"/>
        <scheme val="minor"/>
      </rPr>
      <t>lapidarius</t>
    </r>
    <r>
      <rPr>
        <b/>
        <sz val="11"/>
        <color theme="1"/>
        <rFont val="Calibri"/>
        <family val="2"/>
        <scheme val="minor"/>
      </rPr>
      <t>, hyperboreus, polaris, balteatus, lapponicus, monticola)</t>
    </r>
  </si>
  <si>
    <t>Cost estimations for priority 7-10 Bombus subterraneus, Andrena vaga, A. denticulata, Halictus rubicundus</t>
  </si>
  <si>
    <t>Ambition level 1</t>
  </si>
  <si>
    <t>Ambition level 2</t>
  </si>
  <si>
    <t>Ambition level 3</t>
  </si>
  <si>
    <t>Total costs in the fist year</t>
  </si>
  <si>
    <t>all numbers are shown in SEK</t>
  </si>
  <si>
    <t>Monitoring setup per ambition level</t>
  </si>
  <si>
    <t>Total cost estimations by ambition level of genetic monitoring with preparation of own libraries by the implementor group</t>
  </si>
  <si>
    <t>Total cost estimation by ambition level of genetic monitoring with preparation of libraries by SciLifeLab</t>
  </si>
  <si>
    <r>
      <rPr>
        <b/>
        <sz val="11"/>
        <color theme="1"/>
        <rFont val="Calibri"/>
        <family val="2"/>
        <scheme val="minor"/>
      </rPr>
      <t>One-time costs</t>
    </r>
    <r>
      <rPr>
        <sz val="11"/>
        <color theme="1"/>
        <rFont val="Calibri"/>
        <family val="2"/>
        <scheme val="minor"/>
      </rPr>
      <t xml:space="preserve"> include analyses of museum specimens and purchase of equipment for the data and sample storage; for the Lepidoptera species it also includes generating of a reference genome for </t>
    </r>
    <r>
      <rPr>
        <i/>
        <sz val="11"/>
        <color theme="1"/>
        <rFont val="Calibri"/>
        <family val="2"/>
        <scheme val="minor"/>
      </rPr>
      <t>Pa. apollo</t>
    </r>
    <r>
      <rPr>
        <sz val="11"/>
        <color theme="1"/>
        <rFont val="Calibri"/>
        <family val="2"/>
        <scheme val="minor"/>
      </rPr>
      <t xml:space="preserve"> (since it is the only option for this species). </t>
    </r>
  </si>
  <si>
    <t>Generating reference genomes for the Hymenoptera species is optional, therefore these costs are shown separately in case their sequencing will be decided upon.</t>
  </si>
  <si>
    <t>Totalt</t>
  </si>
  <si>
    <t>+ one-time additional costs for reference genomes for Hymenoptera if their sequencing will be decided upon (10 species)</t>
  </si>
  <si>
    <t>Total costs in the fist year (yearly costs + one-time costs)</t>
  </si>
  <si>
    <t>One-time costs (museum material + equipment)</t>
  </si>
  <si>
    <t>Lepidoptera - Butterflies (2 species) total, of which;</t>
  </si>
  <si>
    <t>Accommodation in connection with field work, 2 pers (P. apollo)</t>
  </si>
  <si>
    <t>Accommodation in connection with field work, 2 pers (P. napi)</t>
  </si>
  <si>
    <t>Car rental in connection with field work, approx. (P. apollo)</t>
  </si>
  <si>
    <t>Car rental in connection with field work, approx. (P. napi)</t>
  </si>
  <si>
    <t>DNA-extraction (P. apollo)</t>
  </si>
  <si>
    <t>DNA-extraction (P. napi)</t>
  </si>
  <si>
    <t>DNA sequencing (P. apollo)</t>
  </si>
  <si>
    <t>DNA sequencing (P. napi)</t>
  </si>
  <si>
    <t>Wage costs</t>
  </si>
  <si>
    <t>Purchase of freezers for sample storage</t>
  </si>
  <si>
    <t>Purchase of equipment for data storage</t>
  </si>
  <si>
    <t>Costs for generating of reference genome (P. apollo)</t>
  </si>
  <si>
    <t>Analyses of museum material (P. apollo)</t>
  </si>
  <si>
    <t>Analyses of museum material (P. napi)</t>
  </si>
  <si>
    <t xml:space="preserve">Hymenoptera - Bees and bumblebees (13) total, of which; </t>
  </si>
  <si>
    <t xml:space="preserve">Accommodation in connection with field work, 2/3/4 pers </t>
  </si>
  <si>
    <t>Car rental in connection with field work, approx.</t>
  </si>
  <si>
    <t>DNA-extraction (NV prio 1-3, 3 species)</t>
  </si>
  <si>
    <t>DNA sequencing (NV prio 1-3, 3 species)</t>
  </si>
  <si>
    <t>DNA-extraction (NV prio 4-6, 6 species)</t>
  </si>
  <si>
    <t>DNA sequencing (NV prio 4-6, 6 species)</t>
  </si>
  <si>
    <t>DNA-extraction (NV prio 7-10, 4 species)</t>
  </si>
  <si>
    <t>DNA sequencing (NV prio 7-10, 4 species)</t>
  </si>
  <si>
    <t>Analyses of museum material (NV prio 1-3, 1 species)</t>
  </si>
  <si>
    <t>Analyses of museum material (NV prio 4-6, 5 species)</t>
  </si>
  <si>
    <t>Analyses of museum material (NV prio7-10, 4 species)</t>
  </si>
  <si>
    <t>Total costs including reference genome generation</t>
  </si>
  <si>
    <r>
      <rPr>
        <b/>
        <sz val="11"/>
        <rFont val="Calibri"/>
        <family val="2"/>
        <scheme val="minor"/>
      </rPr>
      <t>if library preparations are going to be done by the group:</t>
    </r>
    <r>
      <rPr>
        <sz val="11"/>
        <color theme="1"/>
        <rFont val="Calibri"/>
        <family val="2"/>
        <scheme val="minor"/>
      </rPr>
      <t xml:space="preserve"> 60 samples × 2 time points × (40 SEK + 1000 SEK) =124 800 SEK (40/1000 SEK DNA extraction/sequencing per sample)</t>
    </r>
  </si>
  <si>
    <r>
      <rPr>
        <b/>
        <sz val="11"/>
        <color theme="1"/>
        <rFont val="Calibri"/>
        <family val="2"/>
        <scheme val="minor"/>
      </rPr>
      <t>if library preparations are going to be done by the group:</t>
    </r>
    <r>
      <rPr>
        <sz val="11"/>
        <color theme="1"/>
        <rFont val="Calibri"/>
        <family val="2"/>
        <scheme val="minor"/>
      </rPr>
      <t xml:space="preserve"> 90 samples × 2 time points × (40 + 1000)  = 187 200 SEK (40/1000 SEK DNA extraction/sequencing per sample)</t>
    </r>
  </si>
  <si>
    <r>
      <rPr>
        <b/>
        <sz val="11"/>
        <color theme="1"/>
        <rFont val="Calibri"/>
        <family val="2"/>
        <scheme val="minor"/>
      </rPr>
      <t>if library preparations are going to be done by the group:</t>
    </r>
    <r>
      <rPr>
        <sz val="11"/>
        <color theme="1"/>
        <rFont val="Calibri"/>
        <family val="2"/>
        <scheme val="minor"/>
      </rPr>
      <t xml:space="preserve"> 240 samples × 2 time points × (40 + 1000)  = 499 200 SEK (40/1000 SEK DNA extraction/sequencing per sample)</t>
    </r>
  </si>
  <si>
    <r>
      <rPr>
        <b/>
        <sz val="11"/>
        <rFont val="Calibri"/>
        <family val="2"/>
        <scheme val="minor"/>
      </rPr>
      <t>if library preparations are going to be done by the SciLifeLab:</t>
    </r>
    <r>
      <rPr>
        <sz val="11"/>
        <color theme="1"/>
        <rFont val="Calibri"/>
        <family val="2"/>
        <scheme val="minor"/>
      </rPr>
      <t xml:space="preserve"> 60 samples × 2 time points × (40 SEK + 2500 SEK) = 304 800 SEK (40/2500 SEK DNA extraction/sequencing per sample)</t>
    </r>
  </si>
  <si>
    <r>
      <rPr>
        <b/>
        <sz val="11"/>
        <color theme="1"/>
        <rFont val="Calibri"/>
        <family val="2"/>
        <scheme val="minor"/>
      </rPr>
      <t>if library preparations are going to be done by the SciLifeLab:</t>
    </r>
    <r>
      <rPr>
        <sz val="11"/>
        <color theme="1"/>
        <rFont val="Calibri"/>
        <family val="2"/>
        <scheme val="minor"/>
      </rPr>
      <t xml:space="preserve"> 90 samples × 2 time points × (40 + 2500)  = 457 200 SEK (40/2500 SEK DNA extraction/sequencing per sample)</t>
    </r>
  </si>
  <si>
    <r>
      <rPr>
        <b/>
        <sz val="11"/>
        <color theme="1"/>
        <rFont val="Calibri"/>
        <family val="2"/>
        <scheme val="minor"/>
      </rPr>
      <t>if library preparations are going to be done by the SciLifeLab:</t>
    </r>
    <r>
      <rPr>
        <sz val="11"/>
        <color theme="1"/>
        <rFont val="Calibri"/>
        <family val="2"/>
        <scheme val="minor"/>
      </rPr>
      <t xml:space="preserve"> 240 samples × 2 time points × (40 + 2500)  = 1 219 200 SEK (40/2500 SEK DNA extraction/sequencing per sample)</t>
    </r>
  </si>
  <si>
    <r>
      <rPr>
        <b/>
        <sz val="11"/>
        <color theme="1"/>
        <rFont val="Calibri"/>
        <family val="2"/>
        <scheme val="minor"/>
      </rPr>
      <t>if library preparations are going to be done by the group</t>
    </r>
    <r>
      <rPr>
        <sz val="11"/>
        <color theme="1"/>
        <rFont val="Calibri"/>
        <family val="2"/>
        <scheme val="minor"/>
      </rPr>
      <t>: 60 samples × 3 time points × (40 SEK + 1000 SEK) =187 200 SEK (40/1000 SEK DNA extraction/sequencing per sample)</t>
    </r>
  </si>
  <si>
    <r>
      <rPr>
        <b/>
        <sz val="11"/>
        <color theme="1"/>
        <rFont val="Calibri"/>
        <family val="2"/>
        <scheme val="minor"/>
      </rPr>
      <t>if library preparations are going to be done by the SciLifeLab:</t>
    </r>
    <r>
      <rPr>
        <sz val="11"/>
        <color theme="1"/>
        <rFont val="Calibri"/>
        <family val="2"/>
        <scheme val="minor"/>
      </rPr>
      <t xml:space="preserve"> 60 samples × 3 time points × (40 SEK + 2500 SEK) = 457 200 SEK (40/2500 SEK DNA extraction/sequencing per sample)</t>
    </r>
  </si>
  <si>
    <r>
      <rPr>
        <b/>
        <sz val="11"/>
        <color theme="1"/>
        <rFont val="Calibri"/>
        <family val="2"/>
        <scheme val="minor"/>
      </rPr>
      <t>if library preparations are going to be done by the group:</t>
    </r>
    <r>
      <rPr>
        <sz val="11"/>
        <color theme="1"/>
        <rFont val="Calibri"/>
        <family val="2"/>
        <scheme val="minor"/>
      </rPr>
      <t xml:space="preserve"> 90 samples × 3 time points × (40 + 1000)  = 280 800 SEK (40/1000 SEK DNA extraction/sequencing per sample)</t>
    </r>
  </si>
  <si>
    <r>
      <rPr>
        <b/>
        <sz val="11"/>
        <color theme="1"/>
        <rFont val="Calibri"/>
        <family val="2"/>
        <scheme val="minor"/>
      </rPr>
      <t>if library preparations are going to be done by the group:</t>
    </r>
    <r>
      <rPr>
        <sz val="11"/>
        <color theme="1"/>
        <rFont val="Calibri"/>
        <family val="2"/>
        <scheme val="minor"/>
      </rPr>
      <t xml:space="preserve"> 120 samples × 3 time points × (40 + 1000)  = 374 400 SEK (40/1000 SEK DNA extraction/sequencing per sample)</t>
    </r>
  </si>
  <si>
    <r>
      <rPr>
        <b/>
        <sz val="11"/>
        <color theme="1"/>
        <rFont val="Calibri"/>
        <family val="2"/>
        <scheme val="minor"/>
      </rPr>
      <t>if library preparations are going to be done by the SciLifeLab:</t>
    </r>
    <r>
      <rPr>
        <sz val="11"/>
        <color theme="1"/>
        <rFont val="Calibri"/>
        <family val="2"/>
        <scheme val="minor"/>
      </rPr>
      <t xml:space="preserve"> 90 samples × 3 time points × (40 + 2500)  = 685 800 SEK (40/2500 SEK DNA extraction/sequencing per sample)</t>
    </r>
  </si>
  <si>
    <r>
      <rPr>
        <b/>
        <sz val="11"/>
        <color theme="1"/>
        <rFont val="Calibri"/>
        <family val="2"/>
        <scheme val="minor"/>
      </rPr>
      <t>if library preparations are going to be done by the SciLifeLab:</t>
    </r>
    <r>
      <rPr>
        <sz val="11"/>
        <color theme="1"/>
        <rFont val="Calibri"/>
        <family val="2"/>
        <scheme val="minor"/>
      </rPr>
      <t xml:space="preserve"> 120 samples × 3 time points × (40 + 2500)  = 914 400 SEK (40/2500 SEK DNA extraction/sequencing per sample)</t>
    </r>
  </si>
  <si>
    <r>
      <rPr>
        <b/>
        <sz val="11"/>
        <color theme="1"/>
        <rFont val="Calibri"/>
        <family val="2"/>
        <scheme val="minor"/>
      </rPr>
      <t>if library preparations are going to be done by the group:</t>
    </r>
    <r>
      <rPr>
        <sz val="11"/>
        <color theme="1"/>
        <rFont val="Calibri"/>
        <family val="2"/>
        <scheme val="minor"/>
      </rPr>
      <t xml:space="preserve"> 4 samples × 2 time points × (40 SEK + 1000 SEK) = 8 320 SEK (40/1000 SEK DNA extraction/sequencing per sample)</t>
    </r>
  </si>
  <si>
    <r>
      <rPr>
        <b/>
        <sz val="11"/>
        <color theme="1"/>
        <rFont val="Calibri"/>
        <family val="2"/>
        <scheme val="minor"/>
      </rPr>
      <t>if library preparations are going to be done by the group:</t>
    </r>
    <r>
      <rPr>
        <sz val="11"/>
        <color theme="1"/>
        <rFont val="Calibri"/>
        <family val="2"/>
        <scheme val="minor"/>
      </rPr>
      <t xml:space="preserve"> 4 samples × 3 time points × (40 + 1000)  = 12 480 SEK (40/1000 SEK DNA extraction/sequencing per sample)</t>
    </r>
  </si>
  <si>
    <r>
      <rPr>
        <b/>
        <sz val="11"/>
        <color theme="1"/>
        <rFont val="Calibri"/>
        <family val="2"/>
        <scheme val="minor"/>
      </rPr>
      <t>if library preparations are going to be done by the SciLifeLab:</t>
    </r>
    <r>
      <rPr>
        <sz val="11"/>
        <color theme="1"/>
        <rFont val="Calibri"/>
        <family val="2"/>
        <scheme val="minor"/>
      </rPr>
      <t xml:space="preserve"> 4 samples × 2 time points × (40 SEK + 2500 SEK) = 20 320 SEK (40/2500 SEK DNA extraction/sequencing per sample)</t>
    </r>
  </si>
  <si>
    <r>
      <rPr>
        <b/>
        <sz val="11"/>
        <color theme="1"/>
        <rFont val="Calibri"/>
        <family val="2"/>
        <scheme val="minor"/>
      </rPr>
      <t>if library preparations are going to be done by the SciLifeLab:</t>
    </r>
    <r>
      <rPr>
        <sz val="11"/>
        <color theme="1"/>
        <rFont val="Calibri"/>
        <family val="2"/>
        <scheme val="minor"/>
      </rPr>
      <t xml:space="preserve"> 4 samples × 3 time points × (40 + 2500)  = 30 480 SEK (40/2500 SEK DNA extraction/sequencing per sample)</t>
    </r>
  </si>
  <si>
    <r>
      <rPr>
        <b/>
        <sz val="11"/>
        <color theme="1"/>
        <rFont val="Calibri"/>
        <family val="2"/>
        <scheme val="minor"/>
      </rPr>
      <t>if library preparations are going to be done by the group:</t>
    </r>
    <r>
      <rPr>
        <sz val="11"/>
        <color theme="1"/>
        <rFont val="Calibri"/>
        <family val="2"/>
        <scheme val="minor"/>
      </rPr>
      <t xml:space="preserve"> 4 samples × 3 time points × (40 SEK + 1000 SEK) = 12 480 SEK (40/1000 SEK DNA extraction/sequencing per sample)</t>
    </r>
  </si>
  <si>
    <r>
      <rPr>
        <b/>
        <sz val="11"/>
        <color theme="1"/>
        <rFont val="Calibri"/>
        <family val="2"/>
        <scheme val="minor"/>
      </rPr>
      <t>if library preparations are going to be done by the SciLifeLab:</t>
    </r>
    <r>
      <rPr>
        <sz val="11"/>
        <color theme="1"/>
        <rFont val="Calibri"/>
        <family val="2"/>
        <scheme val="minor"/>
      </rPr>
      <t xml:space="preserve"> 4 samples × 3 time points × (40 SEK + 2500 SEK) = 30 480 SEK (40/2500 SEK DNA extraction/sequencing per sample)</t>
    </r>
  </si>
  <si>
    <r>
      <rPr>
        <b/>
        <sz val="11"/>
        <color theme="1"/>
        <rFont val="Calibri"/>
        <family val="2"/>
        <scheme val="minor"/>
      </rPr>
      <t>if library preparations are going to be done by the group:</t>
    </r>
    <r>
      <rPr>
        <sz val="11"/>
        <color theme="1"/>
        <rFont val="Calibri"/>
        <family val="2"/>
        <scheme val="minor"/>
      </rPr>
      <t xml:space="preserve"> 12 samples × 3 time points × (40 + 1000)  = 37 440 SEK (40/1000 SEK DNA extraction/sequencing per sample)</t>
    </r>
  </si>
  <si>
    <r>
      <rPr>
        <b/>
        <sz val="11"/>
        <color theme="1"/>
        <rFont val="Calibri"/>
        <family val="2"/>
        <scheme val="minor"/>
      </rPr>
      <t>if library preparations are going to be done by the SciLifeLab:</t>
    </r>
    <r>
      <rPr>
        <sz val="11"/>
        <color theme="1"/>
        <rFont val="Calibri"/>
        <family val="2"/>
        <scheme val="minor"/>
      </rPr>
      <t xml:space="preserve"> 12 samples × 3 time points × (40 + 2500)  = 91 480 SEK (40/2500 SEK DNA extraction/sequencing per sample)</t>
    </r>
  </si>
  <si>
    <r>
      <rPr>
        <b/>
        <sz val="11"/>
        <color theme="1"/>
        <rFont val="Calibri"/>
        <family val="2"/>
        <scheme val="minor"/>
      </rPr>
      <t>if library preparations are going to be done by the group:</t>
    </r>
    <r>
      <rPr>
        <sz val="11"/>
        <color theme="1"/>
        <rFont val="Calibri"/>
        <family val="2"/>
        <scheme val="minor"/>
      </rPr>
      <t xml:space="preserve"> 40 samples × 3 time points × (40 + 1000)  = 124 800 SEK (40/1000 SEK DNA extraction/sequencing per sample)</t>
    </r>
  </si>
  <si>
    <r>
      <rPr>
        <b/>
        <sz val="11"/>
        <color theme="1"/>
        <rFont val="Calibri"/>
        <family val="2"/>
        <scheme val="minor"/>
      </rPr>
      <t>if library preparations are going to be done by the SciLifeLab:</t>
    </r>
    <r>
      <rPr>
        <sz val="11"/>
        <color theme="1"/>
        <rFont val="Calibri"/>
        <family val="2"/>
        <scheme val="minor"/>
      </rPr>
      <t xml:space="preserve"> 40 samples × 3 time points × (40 + 2500)  = 304 800 SEK (40/2500 SEK DNA extraction/sequencing per sample)</t>
    </r>
  </si>
  <si>
    <t>reference genome is needed</t>
  </si>
  <si>
    <t>reference genome is needed for 5 species</t>
  </si>
  <si>
    <t>50 000 SEK × 5 species = 250 000 SEK</t>
  </si>
  <si>
    <t>50 000 SEK × 4 species = 200 000 SEK</t>
  </si>
  <si>
    <t>reference genome is needed for all 4 species</t>
  </si>
  <si>
    <t>reference genome is needed for 1 species</t>
  </si>
  <si>
    <r>
      <t xml:space="preserve">50 000 SEK </t>
    </r>
    <r>
      <rPr>
        <sz val="11"/>
        <color theme="1"/>
        <rFont val="Calibri"/>
        <family val="2"/>
      </rPr>
      <t xml:space="preserve">× </t>
    </r>
    <r>
      <rPr>
        <sz val="11"/>
        <color theme="1"/>
        <rFont val="Calibri"/>
        <family val="2"/>
        <scheme val="minor"/>
      </rPr>
      <t>1 species = 50 000 SEK</t>
    </r>
  </si>
  <si>
    <t>50 000 SEK × 1 species = 50 000 SEK</t>
  </si>
  <si>
    <t>Total without additional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</si>
</sst>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_k_r"/>
    <numFmt numFmtId="166" formatCode="_-* #,##0.00\ &quot;kr&quot;_-;\-* #,##0.00\ &quot;kr&quot;_-;_-* &quot;-&quot;??\ &quot;kr&quot;_-;_-@_-"/>
    <numFmt numFmtId="167" formatCode="#,##0\ &quot;SEK&quot;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Times New Roman"/>
      <family val="1"/>
    </font>
    <font>
      <sz val="11"/>
      <color theme="1"/>
      <name val="Calibri"/>
      <family val="1"/>
      <scheme val="minor"/>
    </font>
    <font>
      <sz val="11"/>
      <color theme="1"/>
      <name val="Calibri"/>
      <family val="2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theme="0" tint="-0.499984740745262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auto="1"/>
      </right>
      <top style="thin">
        <color theme="0" tint="-0.499984740745262"/>
      </top>
      <bottom/>
      <diagonal/>
    </border>
    <border>
      <left/>
      <right style="medium">
        <color auto="1"/>
      </right>
      <top style="medium">
        <color auto="1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 style="medium">
        <color auto="1"/>
      </top>
      <bottom style="thin">
        <color theme="0" tint="-0.499984740745262"/>
      </bottom>
      <diagonal/>
    </border>
    <border>
      <left style="medium">
        <color auto="1"/>
      </left>
      <right/>
      <top style="medium">
        <color auto="1"/>
      </top>
      <bottom style="thin">
        <color theme="0" tint="-0.499984740745262"/>
      </bottom>
      <diagonal/>
    </border>
    <border>
      <left/>
      <right style="medium">
        <color auto="1"/>
      </right>
      <top style="medium">
        <color theme="1"/>
      </top>
      <bottom style="thin">
        <color theme="0" tint="-0.499984740745262"/>
      </bottom>
      <diagonal/>
    </border>
    <border>
      <left/>
      <right/>
      <top style="medium">
        <color theme="1"/>
      </top>
      <bottom style="thin">
        <color theme="0" tint="-0.499984740745262"/>
      </bottom>
      <diagonal/>
    </border>
    <border>
      <left style="medium">
        <color auto="1"/>
      </left>
      <right/>
      <top style="medium">
        <color theme="1"/>
      </top>
      <bottom style="thin">
        <color theme="0" tint="-0.499984740745262"/>
      </bottom>
      <diagonal/>
    </border>
    <border>
      <left/>
      <right/>
      <top style="medium">
        <color theme="1"/>
      </top>
      <bottom/>
      <diagonal/>
    </border>
    <border>
      <left style="medium">
        <color auto="1"/>
      </left>
      <right/>
      <top style="medium">
        <color theme="1"/>
      </top>
      <bottom/>
      <diagonal/>
    </border>
    <border>
      <left/>
      <right style="medium">
        <color auto="1"/>
      </right>
      <top style="medium">
        <color theme="1"/>
      </top>
      <bottom/>
      <diagonal/>
    </border>
    <border>
      <left style="medium">
        <color auto="1"/>
      </left>
      <right/>
      <top/>
      <bottom style="medium">
        <color theme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theme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theme="1"/>
      </bottom>
      <diagonal/>
    </border>
    <border>
      <left/>
      <right/>
      <top style="thin">
        <color theme="0" tint="-0.499984740745262"/>
      </top>
      <bottom style="medium">
        <color auto="1"/>
      </bottom>
      <diagonal/>
    </border>
    <border>
      <left/>
      <right style="medium">
        <color auto="1"/>
      </right>
      <top style="thin">
        <color theme="0" tint="-0.499984740745262"/>
      </top>
      <bottom style="medium">
        <color auto="1"/>
      </bottom>
      <diagonal/>
    </border>
    <border>
      <left style="medium">
        <color auto="1"/>
      </left>
      <right/>
      <top style="thin">
        <color theme="0" tint="-0.499984740745262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theme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theme="1"/>
      </bottom>
      <diagonal/>
    </border>
    <border>
      <left style="medium">
        <color auto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auto="1"/>
      </right>
      <top style="medium">
        <color theme="1"/>
      </top>
      <bottom style="medium">
        <color theme="1"/>
      </bottom>
      <diagonal/>
    </border>
    <border>
      <left style="medium">
        <color auto="1"/>
      </left>
      <right/>
      <top style="thin">
        <color theme="0" tint="-0.499984740745262"/>
      </top>
      <bottom style="medium">
        <color theme="1"/>
      </bottom>
      <diagonal/>
    </border>
    <border>
      <left/>
      <right/>
      <top style="thin">
        <color theme="0" tint="-0.499984740745262"/>
      </top>
      <bottom style="medium">
        <color theme="1"/>
      </bottom>
      <diagonal/>
    </border>
    <border>
      <left/>
      <right style="medium">
        <color auto="1"/>
      </right>
      <top style="thin">
        <color theme="0" tint="-0.499984740745262"/>
      </top>
      <bottom style="medium">
        <color theme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medium">
        <color auto="1"/>
      </right>
      <top/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61">
    <xf numFmtId="0" fontId="0" fillId="0" borderId="0" xfId="0"/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2" xfId="0" quotePrefix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3" fillId="0" borderId="14" xfId="0" applyFont="1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1" fillId="0" borderId="17" xfId="0" applyFont="1" applyBorder="1" applyAlignment="1">
      <alignment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" fillId="0" borderId="19" xfId="0" applyFont="1" applyBorder="1" applyAlignment="1">
      <alignment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" fillId="0" borderId="17" xfId="0" applyFont="1" applyBorder="1" applyAlignment="1">
      <alignment horizontal="left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 wrapText="1"/>
    </xf>
    <xf numFmtId="0" fontId="0" fillId="0" borderId="0" xfId="0" applyFill="1" applyBorder="1" applyAlignment="1">
      <alignment horizontal="left" vertical="center"/>
    </xf>
    <xf numFmtId="0" fontId="0" fillId="0" borderId="0" xfId="0" applyBorder="1"/>
    <xf numFmtId="0" fontId="0" fillId="0" borderId="0" xfId="0" quotePrefix="1" applyFill="1" applyBorder="1" applyAlignment="1">
      <alignment horizontal="left" vertical="center"/>
    </xf>
    <xf numFmtId="0" fontId="0" fillId="0" borderId="25" xfId="0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9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7" xfId="0" applyBorder="1"/>
    <xf numFmtId="0" fontId="0" fillId="0" borderId="28" xfId="0" applyBorder="1"/>
    <xf numFmtId="0" fontId="0" fillId="0" borderId="29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0" fillId="0" borderId="2" xfId="0" quotePrefix="1" applyBorder="1" applyAlignment="1">
      <alignment horizontal="left" vertical="center" wrapText="1"/>
    </xf>
    <xf numFmtId="0" fontId="0" fillId="0" borderId="2" xfId="0" quotePrefix="1" applyBorder="1" applyAlignment="1">
      <alignment horizontal="left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 wrapText="1"/>
    </xf>
    <xf numFmtId="0" fontId="7" fillId="0" borderId="0" xfId="0" quotePrefix="1" applyFont="1" applyAlignment="1">
      <alignment horizontal="center"/>
    </xf>
    <xf numFmtId="1" fontId="0" fillId="0" borderId="0" xfId="0" applyNumberFormat="1" applyBorder="1" applyAlignment="1">
      <alignment vertical="center"/>
    </xf>
    <xf numFmtId="0" fontId="0" fillId="0" borderId="0" xfId="0" applyFill="1"/>
    <xf numFmtId="0" fontId="1" fillId="0" borderId="0" xfId="0" applyFont="1" applyFill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2" fillId="0" borderId="0" xfId="0" applyFont="1" applyFill="1" applyAlignment="1">
      <alignment horizontal="center"/>
    </xf>
    <xf numFmtId="0" fontId="0" fillId="0" borderId="15" xfId="0" applyBorder="1" applyAlignment="1">
      <alignment vertical="center" wrapText="1"/>
    </xf>
    <xf numFmtId="0" fontId="0" fillId="0" borderId="14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36" xfId="0" applyBorder="1" applyAlignment="1">
      <alignment vertical="center" wrapText="1"/>
    </xf>
    <xf numFmtId="0" fontId="0" fillId="0" borderId="37" xfId="0" applyBorder="1" applyAlignment="1">
      <alignment vertical="center" wrapText="1"/>
    </xf>
    <xf numFmtId="0" fontId="0" fillId="0" borderId="38" xfId="0" applyBorder="1" applyAlignment="1">
      <alignment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0" fillId="6" borderId="0" xfId="0" applyFill="1" applyAlignment="1">
      <alignment vertical="center" wrapText="1"/>
    </xf>
    <xf numFmtId="0" fontId="1" fillId="6" borderId="0" xfId="0" applyFont="1" applyFill="1" applyAlignment="1">
      <alignment vertical="center"/>
    </xf>
    <xf numFmtId="0" fontId="0" fillId="0" borderId="0" xfId="0" applyFont="1"/>
    <xf numFmtId="0" fontId="0" fillId="2" borderId="5" xfId="0" applyFont="1" applyFill="1" applyBorder="1"/>
    <xf numFmtId="0" fontId="0" fillId="0" borderId="5" xfId="0" applyFont="1" applyBorder="1"/>
    <xf numFmtId="0" fontId="0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5" xfId="0" applyFont="1" applyBorder="1"/>
    <xf numFmtId="0" fontId="0" fillId="0" borderId="29" xfId="0" applyFont="1" applyBorder="1"/>
    <xf numFmtId="0" fontId="0" fillId="5" borderId="5" xfId="0" applyFont="1" applyFill="1" applyBorder="1"/>
    <xf numFmtId="0" fontId="0" fillId="0" borderId="7" xfId="0" applyFont="1" applyBorder="1"/>
    <xf numFmtId="0" fontId="0" fillId="0" borderId="39" xfId="0" applyFont="1" applyBorder="1"/>
    <xf numFmtId="0" fontId="0" fillId="7" borderId="0" xfId="0" applyFont="1" applyFill="1" applyBorder="1" applyAlignment="1">
      <alignment horizontal="center" vertical="center"/>
    </xf>
    <xf numFmtId="0" fontId="1" fillId="0" borderId="0" xfId="0" quotePrefix="1" applyFont="1"/>
    <xf numFmtId="0" fontId="0" fillId="3" borderId="0" xfId="0" applyFill="1"/>
    <xf numFmtId="0" fontId="1" fillId="3" borderId="0" xfId="0" quotePrefix="1" applyFont="1" applyFill="1"/>
    <xf numFmtId="0" fontId="0" fillId="0" borderId="0" xfId="0" applyFill="1" applyAlignment="1">
      <alignment horizontal="center" vertical="center"/>
    </xf>
    <xf numFmtId="0" fontId="1" fillId="0" borderId="5" xfId="0" applyFont="1" applyBorder="1"/>
    <xf numFmtId="0" fontId="0" fillId="0" borderId="0" xfId="0" applyFont="1" applyFill="1"/>
    <xf numFmtId="0" fontId="1" fillId="2" borderId="1" xfId="0" applyFont="1" applyFill="1" applyBorder="1" applyAlignment="1">
      <alignment horizontal="left" vertical="center" wrapText="1"/>
    </xf>
    <xf numFmtId="0" fontId="0" fillId="2" borderId="5" xfId="0" applyFill="1" applyBorder="1"/>
    <xf numFmtId="0" fontId="0" fillId="0" borderId="5" xfId="0" applyBorder="1"/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13" fillId="0" borderId="7" xfId="0" applyFont="1" applyBorder="1"/>
    <xf numFmtId="0" fontId="13" fillId="0" borderId="7" xfId="0" applyFont="1" applyBorder="1" applyAlignment="1">
      <alignment wrapText="1"/>
    </xf>
    <xf numFmtId="0" fontId="0" fillId="0" borderId="7" xfId="0" quotePrefix="1" applyBorder="1" applyAlignment="1">
      <alignment wrapText="1"/>
    </xf>
    <xf numFmtId="0" fontId="5" fillId="0" borderId="0" xfId="0" applyFont="1"/>
    <xf numFmtId="0" fontId="14" fillId="0" borderId="0" xfId="0" applyFont="1"/>
    <xf numFmtId="0" fontId="15" fillId="0" borderId="0" xfId="0" applyFont="1"/>
    <xf numFmtId="166" fontId="15" fillId="0" borderId="0" xfId="0" applyNumberFormat="1" applyFont="1"/>
    <xf numFmtId="0" fontId="16" fillId="0" borderId="0" xfId="0" applyFont="1"/>
    <xf numFmtId="0" fontId="0" fillId="5" borderId="5" xfId="0" applyFill="1" applyBorder="1"/>
    <xf numFmtId="3" fontId="0" fillId="0" borderId="0" xfId="0" applyNumberFormat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18" fillId="0" borderId="0" xfId="0" applyFont="1"/>
    <xf numFmtId="0" fontId="0" fillId="0" borderId="5" xfId="0" applyBorder="1" applyAlignment="1">
      <alignment vertical="center"/>
    </xf>
    <xf numFmtId="0" fontId="1" fillId="0" borderId="15" xfId="0" applyFont="1" applyBorder="1"/>
    <xf numFmtId="3" fontId="0" fillId="0" borderId="15" xfId="0" applyNumberFormat="1" applyBorder="1" applyAlignment="1">
      <alignment horizontal="center" vertical="center"/>
    </xf>
    <xf numFmtId="3" fontId="0" fillId="0" borderId="14" xfId="0" applyNumberFormat="1" applyBorder="1" applyAlignment="1">
      <alignment horizontal="center" vertical="center"/>
    </xf>
    <xf numFmtId="3" fontId="0" fillId="0" borderId="12" xfId="0" applyNumberFormat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3" fontId="13" fillId="0" borderId="0" xfId="0" applyNumberFormat="1" applyFont="1" applyAlignment="1">
      <alignment horizontal="center" vertical="center"/>
    </xf>
    <xf numFmtId="3" fontId="0" fillId="0" borderId="9" xfId="0" applyNumberFormat="1" applyBorder="1" applyAlignment="1">
      <alignment horizontal="center" vertical="center"/>
    </xf>
    <xf numFmtId="3" fontId="13" fillId="0" borderId="9" xfId="0" applyNumberFormat="1" applyFont="1" applyBorder="1" applyAlignment="1">
      <alignment horizontal="center" vertical="center"/>
    </xf>
    <xf numFmtId="3" fontId="13" fillId="0" borderId="7" xfId="0" applyNumberFormat="1" applyFont="1" applyBorder="1" applyAlignment="1">
      <alignment horizontal="center" vertical="center"/>
    </xf>
    <xf numFmtId="0" fontId="1" fillId="0" borderId="43" xfId="0" applyFont="1" applyBorder="1"/>
    <xf numFmtId="3" fontId="0" fillId="0" borderId="44" xfId="0" applyNumberFormat="1" applyFill="1" applyBorder="1" applyAlignment="1">
      <alignment horizontal="center" vertical="center"/>
    </xf>
    <xf numFmtId="3" fontId="0" fillId="0" borderId="45" xfId="0" applyNumberFormat="1" applyFill="1" applyBorder="1" applyAlignment="1">
      <alignment horizontal="center" vertical="center"/>
    </xf>
    <xf numFmtId="3" fontId="0" fillId="0" borderId="46" xfId="0" applyNumberFormat="1" applyFill="1" applyBorder="1" applyAlignment="1">
      <alignment horizontal="center" vertical="center"/>
    </xf>
    <xf numFmtId="3" fontId="0" fillId="0" borderId="47" xfId="0" applyNumberFormat="1" applyFill="1" applyBorder="1" applyAlignment="1">
      <alignment horizontal="center" vertical="center"/>
    </xf>
    <xf numFmtId="3" fontId="0" fillId="0" borderId="7" xfId="0" applyNumberFormat="1" applyFill="1" applyBorder="1" applyAlignment="1">
      <alignment horizontal="center" vertical="center"/>
    </xf>
    <xf numFmtId="3" fontId="13" fillId="0" borderId="0" xfId="0" applyNumberFormat="1" applyFont="1" applyFill="1" applyAlignment="1">
      <alignment horizontal="center" vertical="center"/>
    </xf>
    <xf numFmtId="3" fontId="0" fillId="0" borderId="9" xfId="0" applyNumberFormat="1" applyFill="1" applyBorder="1" applyAlignment="1">
      <alignment horizontal="center" vertical="center"/>
    </xf>
    <xf numFmtId="3" fontId="13" fillId="0" borderId="9" xfId="0" applyNumberFormat="1" applyFont="1" applyFill="1" applyBorder="1" applyAlignment="1">
      <alignment horizontal="center" vertical="center"/>
    </xf>
    <xf numFmtId="3" fontId="13" fillId="0" borderId="7" xfId="0" applyNumberFormat="1" applyFont="1" applyFill="1" applyBorder="1" applyAlignment="1">
      <alignment horizontal="center" vertical="center"/>
    </xf>
    <xf numFmtId="3" fontId="13" fillId="0" borderId="0" xfId="0" applyNumberFormat="1" applyFont="1" applyFill="1"/>
    <xf numFmtId="3" fontId="0" fillId="0" borderId="0" xfId="0" applyNumberFormat="1" applyFill="1" applyAlignment="1">
      <alignment horizontal="center" vertical="center"/>
    </xf>
    <xf numFmtId="3" fontId="0" fillId="0" borderId="39" xfId="0" applyNumberFormat="1" applyFill="1" applyBorder="1" applyAlignment="1">
      <alignment horizontal="center" vertical="center"/>
    </xf>
    <xf numFmtId="3" fontId="0" fillId="0" borderId="48" xfId="0" applyNumberFormat="1" applyFill="1" applyBorder="1" applyAlignment="1">
      <alignment horizontal="center" vertical="center"/>
    </xf>
    <xf numFmtId="3" fontId="13" fillId="0" borderId="49" xfId="0" applyNumberFormat="1" applyFont="1" applyFill="1" applyBorder="1" applyAlignment="1">
      <alignment horizontal="center" vertical="center"/>
    </xf>
    <xf numFmtId="3" fontId="13" fillId="0" borderId="48" xfId="0" applyNumberFormat="1" applyFont="1" applyFill="1" applyBorder="1" applyAlignment="1">
      <alignment horizontal="center" vertical="center"/>
    </xf>
    <xf numFmtId="3" fontId="13" fillId="0" borderId="39" xfId="0" applyNumberFormat="1" applyFont="1" applyFill="1" applyBorder="1" applyAlignment="1">
      <alignment horizontal="center" vertical="center"/>
    </xf>
    <xf numFmtId="3" fontId="0" fillId="0" borderId="5" xfId="0" applyNumberFormat="1" applyFill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3" fontId="0" fillId="0" borderId="8" xfId="0" applyNumberFormat="1" applyFill="1" applyBorder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167" fontId="14" fillId="0" borderId="0" xfId="0" applyNumberFormat="1" applyFont="1" applyAlignment="1">
      <alignment horizontal="center"/>
    </xf>
    <xf numFmtId="3" fontId="1" fillId="0" borderId="7" xfId="0" applyNumberFormat="1" applyFont="1" applyFill="1" applyBorder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3" fontId="0" fillId="0" borderId="7" xfId="0" applyNumberFormat="1" applyFont="1" applyFill="1" applyBorder="1" applyAlignment="1">
      <alignment horizontal="center" vertical="center"/>
    </xf>
    <xf numFmtId="3" fontId="0" fillId="0" borderId="0" xfId="0" applyNumberFormat="1" applyFont="1" applyFill="1" applyAlignment="1">
      <alignment horizontal="center" vertical="center"/>
    </xf>
    <xf numFmtId="3" fontId="13" fillId="0" borderId="50" xfId="0" applyNumberFormat="1" applyFont="1" applyFill="1" applyBorder="1" applyAlignment="1">
      <alignment horizontal="center" vertical="center"/>
    </xf>
    <xf numFmtId="3" fontId="1" fillId="0" borderId="39" xfId="0" applyNumberFormat="1" applyFont="1" applyFill="1" applyBorder="1" applyAlignment="1">
      <alignment horizontal="center" vertical="center"/>
    </xf>
    <xf numFmtId="3" fontId="1" fillId="0" borderId="48" xfId="0" applyNumberFormat="1" applyFont="1" applyFill="1" applyBorder="1" applyAlignment="1">
      <alignment horizontal="center" vertical="center"/>
    </xf>
    <xf numFmtId="3" fontId="0" fillId="0" borderId="39" xfId="0" applyNumberFormat="1" applyFont="1" applyFill="1" applyBorder="1" applyAlignment="1">
      <alignment horizontal="center" vertical="center"/>
    </xf>
    <xf numFmtId="3" fontId="0" fillId="0" borderId="48" xfId="0" applyNumberFormat="1" applyFont="1" applyFill="1" applyBorder="1" applyAlignment="1">
      <alignment horizontal="center" vertical="center"/>
    </xf>
    <xf numFmtId="167" fontId="17" fillId="0" borderId="0" xfId="0" applyNumberFormat="1" applyFont="1" applyAlignment="1">
      <alignment horizontal="center" vertical="center"/>
    </xf>
    <xf numFmtId="164" fontId="10" fillId="0" borderId="0" xfId="0" applyNumberFormat="1" applyFont="1" applyFill="1" applyAlignment="1">
      <alignment horizontal="center" vertical="center"/>
    </xf>
    <xf numFmtId="0" fontId="10" fillId="0" borderId="0" xfId="0" applyFont="1" applyFill="1"/>
    <xf numFmtId="0" fontId="10" fillId="0" borderId="0" xfId="0" applyFont="1" applyFill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0" fillId="9" borderId="5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9" borderId="8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0" fillId="8" borderId="5" xfId="0" applyFont="1" applyFill="1" applyBorder="1" applyAlignment="1">
      <alignment horizontal="center" vertical="center"/>
    </xf>
    <xf numFmtId="0" fontId="0" fillId="8" borderId="1" xfId="0" applyFont="1" applyFill="1" applyBorder="1" applyAlignment="1">
      <alignment horizontal="center" vertical="center"/>
    </xf>
    <xf numFmtId="0" fontId="0" fillId="8" borderId="8" xfId="0" applyFont="1" applyFill="1" applyBorder="1" applyAlignment="1">
      <alignment horizontal="center" vertical="center"/>
    </xf>
    <xf numFmtId="0" fontId="0" fillId="9" borderId="5" xfId="0" applyFont="1" applyFill="1" applyBorder="1" applyAlignment="1">
      <alignment horizontal="center" vertical="center"/>
    </xf>
    <xf numFmtId="0" fontId="0" fillId="9" borderId="1" xfId="0" applyFont="1" applyFill="1" applyBorder="1" applyAlignment="1">
      <alignment horizontal="center" vertical="center"/>
    </xf>
    <xf numFmtId="0" fontId="0" fillId="9" borderId="8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" fillId="0" borderId="0" xfId="0" applyFont="1" applyFill="1"/>
    <xf numFmtId="0" fontId="7" fillId="0" borderId="0" xfId="0" quotePrefix="1" applyFont="1" applyFill="1" applyAlignment="1">
      <alignment horizontal="center"/>
    </xf>
    <xf numFmtId="0" fontId="10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1" fillId="0" borderId="0" xfId="0" quotePrefix="1" applyFont="1" applyFill="1" applyAlignment="1">
      <alignment horizontal="left"/>
    </xf>
    <xf numFmtId="0" fontId="1" fillId="0" borderId="0" xfId="0" quotePrefix="1" applyFont="1" applyFill="1"/>
    <xf numFmtId="3" fontId="0" fillId="0" borderId="15" xfId="0" applyNumberFormat="1" applyFont="1" applyBorder="1" applyAlignment="1">
      <alignment horizontal="center" vertical="center"/>
    </xf>
    <xf numFmtId="3" fontId="0" fillId="0" borderId="14" xfId="0" applyNumberFormat="1" applyFont="1" applyBorder="1" applyAlignment="1">
      <alignment horizontal="center" vertical="center"/>
    </xf>
    <xf numFmtId="3" fontId="0" fillId="0" borderId="12" xfId="0" applyNumberFormat="1" applyFont="1" applyBorder="1" applyAlignment="1">
      <alignment horizontal="center" vertical="center"/>
    </xf>
    <xf numFmtId="3" fontId="0" fillId="0" borderId="15" xfId="0" applyNumberFormat="1" applyFont="1" applyFill="1" applyBorder="1" applyAlignment="1">
      <alignment horizontal="center" vertical="center"/>
    </xf>
    <xf numFmtId="3" fontId="0" fillId="0" borderId="14" xfId="0" applyNumberFormat="1" applyFont="1" applyFill="1" applyBorder="1" applyAlignment="1">
      <alignment horizontal="center" vertical="center"/>
    </xf>
    <xf numFmtId="3" fontId="0" fillId="0" borderId="12" xfId="0" applyNumberFormat="1" applyFont="1" applyFill="1" applyBorder="1" applyAlignment="1">
      <alignment horizontal="center" vertical="center"/>
    </xf>
    <xf numFmtId="3" fontId="0" fillId="0" borderId="29" xfId="0" applyNumberFormat="1" applyFont="1" applyFill="1" applyBorder="1" applyAlignment="1">
      <alignment horizontal="center" vertical="center"/>
    </xf>
    <xf numFmtId="3" fontId="0" fillId="0" borderId="27" xfId="0" applyNumberFormat="1" applyFont="1" applyFill="1" applyBorder="1" applyAlignment="1">
      <alignment horizontal="center" vertical="center"/>
    </xf>
    <xf numFmtId="3" fontId="0" fillId="0" borderId="28" xfId="0" applyNumberFormat="1" applyFont="1" applyFill="1" applyBorder="1" applyAlignment="1">
      <alignment horizontal="center" vertical="center"/>
    </xf>
    <xf numFmtId="3" fontId="0" fillId="0" borderId="5" xfId="0" applyNumberFormat="1" applyFont="1" applyFill="1" applyBorder="1" applyAlignment="1">
      <alignment horizontal="center" vertical="center"/>
    </xf>
    <xf numFmtId="3" fontId="0" fillId="0" borderId="1" xfId="0" applyNumberFormat="1" applyFont="1" applyFill="1" applyBorder="1" applyAlignment="1">
      <alignment horizontal="center" vertical="center"/>
    </xf>
    <xf numFmtId="3" fontId="0" fillId="0" borderId="8" xfId="0" applyNumberFormat="1" applyFont="1" applyFill="1" applyBorder="1" applyAlignment="1">
      <alignment horizontal="center" vertical="center"/>
    </xf>
    <xf numFmtId="3" fontId="0" fillId="0" borderId="40" xfId="0" applyNumberFormat="1" applyFont="1" applyFill="1" applyBorder="1" applyAlignment="1">
      <alignment horizontal="center" vertical="center"/>
    </xf>
    <xf numFmtId="3" fontId="0" fillId="0" borderId="41" xfId="0" applyNumberFormat="1" applyFont="1" applyFill="1" applyBorder="1" applyAlignment="1">
      <alignment horizontal="center" vertical="center"/>
    </xf>
    <xf numFmtId="3" fontId="0" fillId="0" borderId="42" xfId="0" applyNumberFormat="1" applyFont="1" applyFill="1" applyBorder="1" applyAlignment="1">
      <alignment horizontal="center" vertical="center"/>
    </xf>
    <xf numFmtId="3" fontId="0" fillId="0" borderId="29" xfId="0" applyNumberFormat="1" applyFill="1" applyBorder="1" applyAlignment="1">
      <alignment horizontal="center" vertical="center"/>
    </xf>
    <xf numFmtId="0" fontId="1" fillId="0" borderId="0" xfId="0" applyFont="1" applyFill="1" applyBorder="1"/>
    <xf numFmtId="0" fontId="0" fillId="0" borderId="51" xfId="0" quotePrefix="1" applyFont="1" applyFill="1" applyBorder="1" applyAlignment="1">
      <alignment wrapText="1"/>
    </xf>
    <xf numFmtId="0" fontId="1" fillId="0" borderId="51" xfId="0" applyFont="1" applyFill="1" applyBorder="1"/>
    <xf numFmtId="0" fontId="0" fillId="0" borderId="1" xfId="0" applyFont="1" applyFill="1" applyBorder="1" applyAlignment="1">
      <alignment horizontal="center" vertical="center"/>
    </xf>
    <xf numFmtId="3" fontId="0" fillId="0" borderId="5" xfId="0" applyNumberFormat="1" applyFont="1" applyBorder="1"/>
    <xf numFmtId="3" fontId="0" fillId="0" borderId="5" xfId="0" applyNumberFormat="1" applyFont="1" applyFill="1" applyBorder="1"/>
    <xf numFmtId="3" fontId="1" fillId="0" borderId="1" xfId="0" applyNumberFormat="1" applyFont="1" applyFill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3" fontId="1" fillId="0" borderId="8" xfId="0" applyNumberFormat="1" applyFont="1" applyBorder="1" applyAlignment="1">
      <alignment horizontal="center" vertical="center"/>
    </xf>
    <xf numFmtId="0" fontId="0" fillId="0" borderId="3" xfId="0" quotePrefix="1" applyFont="1" applyFill="1" applyBorder="1" applyAlignment="1">
      <alignment wrapText="1"/>
    </xf>
    <xf numFmtId="0" fontId="0" fillId="0" borderId="23" xfId="0" applyFont="1" applyFill="1" applyBorder="1"/>
    <xf numFmtId="0" fontId="0" fillId="0" borderId="23" xfId="0" applyFont="1" applyFill="1" applyBorder="1" applyAlignment="1">
      <alignment horizontal="center" vertical="center"/>
    </xf>
    <xf numFmtId="3" fontId="0" fillId="0" borderId="23" xfId="0" applyNumberFormat="1" applyFill="1" applyBorder="1" applyAlignment="1">
      <alignment horizontal="center" vertical="center"/>
    </xf>
    <xf numFmtId="3" fontId="0" fillId="0" borderId="25" xfId="0" applyNumberFormat="1" applyFill="1" applyBorder="1" applyAlignment="1">
      <alignment horizontal="center" vertical="center"/>
    </xf>
    <xf numFmtId="0" fontId="0" fillId="0" borderId="3" xfId="0" applyFont="1" applyFill="1" applyBorder="1"/>
    <xf numFmtId="0" fontId="1" fillId="0" borderId="5" xfId="0" applyFont="1" applyFill="1" applyBorder="1"/>
    <xf numFmtId="3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FD9D1-6ABC-4633-B9BA-31737007691F}">
  <dimension ref="A1:K25"/>
  <sheetViews>
    <sheetView tabSelected="1" zoomScale="85" zoomScaleNormal="85" workbookViewId="0"/>
  </sheetViews>
  <sheetFormatPr defaultColWidth="21" defaultRowHeight="15" x14ac:dyDescent="0.25"/>
  <cols>
    <col min="1" max="1" width="36.7109375" style="100" customWidth="1"/>
    <col min="2" max="2" width="25.28515625" style="100" customWidth="1"/>
    <col min="3" max="3" width="11.85546875" style="100" bestFit="1" customWidth="1"/>
    <col min="4" max="4" width="15.140625" style="100" bestFit="1" customWidth="1"/>
    <col min="5" max="5" width="25.28515625" style="100" bestFit="1" customWidth="1"/>
    <col min="6" max="6" width="11.85546875" style="100" bestFit="1" customWidth="1"/>
    <col min="7" max="7" width="15.140625" style="100" bestFit="1" customWidth="1"/>
    <col min="8" max="8" width="25.28515625" style="100" bestFit="1" customWidth="1"/>
    <col min="9" max="9" width="11.85546875" style="100" bestFit="1" customWidth="1"/>
    <col min="10" max="10" width="15.140625" style="100" bestFit="1" customWidth="1"/>
    <col min="11" max="11" width="63.140625" style="100" customWidth="1"/>
    <col min="12" max="16384" width="21" style="100"/>
  </cols>
  <sheetData>
    <row r="1" spans="1:11" ht="15.75" thickBot="1" x14ac:dyDescent="0.3">
      <c r="A1" s="101"/>
      <c r="B1" s="189" t="s">
        <v>170</v>
      </c>
      <c r="C1" s="189"/>
      <c r="D1" s="189"/>
      <c r="E1" s="189"/>
      <c r="F1" s="189"/>
      <c r="G1" s="189"/>
      <c r="H1" s="189"/>
      <c r="I1" s="189"/>
      <c r="J1" s="190"/>
      <c r="K1" s="117"/>
    </row>
    <row r="2" spans="1:11" ht="15.75" thickBot="1" x14ac:dyDescent="0.3">
      <c r="A2" s="102"/>
      <c r="B2" s="193" t="s">
        <v>164</v>
      </c>
      <c r="C2" s="194"/>
      <c r="D2" s="195"/>
      <c r="E2" s="196" t="s">
        <v>165</v>
      </c>
      <c r="F2" s="197"/>
      <c r="G2" s="198"/>
      <c r="H2" s="199" t="s">
        <v>166</v>
      </c>
      <c r="I2" s="199"/>
      <c r="J2" s="200"/>
    </row>
    <row r="3" spans="1:11" ht="15.75" thickBot="1" x14ac:dyDescent="0.3">
      <c r="A3" s="102" t="s">
        <v>145</v>
      </c>
      <c r="B3" s="103" t="s">
        <v>167</v>
      </c>
      <c r="C3" s="104" t="s">
        <v>148</v>
      </c>
      <c r="D3" s="105" t="s">
        <v>149</v>
      </c>
      <c r="E3" s="103" t="s">
        <v>167</v>
      </c>
      <c r="F3" s="104" t="s">
        <v>148</v>
      </c>
      <c r="G3" s="105" t="s">
        <v>149</v>
      </c>
      <c r="H3" s="103" t="s">
        <v>167</v>
      </c>
      <c r="I3" s="104" t="s">
        <v>148</v>
      </c>
      <c r="J3" s="105" t="s">
        <v>149</v>
      </c>
    </row>
    <row r="4" spans="1:11" x14ac:dyDescent="0.25">
      <c r="A4" s="106" t="s">
        <v>147</v>
      </c>
      <c r="B4" s="231">
        <v>1128779</v>
      </c>
      <c r="C4" s="232">
        <v>824899</v>
      </c>
      <c r="D4" s="233">
        <v>303880</v>
      </c>
      <c r="E4" s="228">
        <v>1276279</v>
      </c>
      <c r="F4" s="229">
        <v>882039</v>
      </c>
      <c r="G4" s="230">
        <v>394240</v>
      </c>
      <c r="H4" s="229">
        <v>1848658</v>
      </c>
      <c r="I4" s="229">
        <v>1051058</v>
      </c>
      <c r="J4" s="230">
        <v>797600</v>
      </c>
    </row>
    <row r="5" spans="1:11" ht="15.75" thickBot="1" x14ac:dyDescent="0.3">
      <c r="A5" s="107" t="s">
        <v>146</v>
      </c>
      <c r="B5" s="234">
        <v>1985598</v>
      </c>
      <c r="C5" s="235">
        <v>1606918</v>
      </c>
      <c r="D5" s="236">
        <v>378680</v>
      </c>
      <c r="E5" s="234">
        <v>2837058</v>
      </c>
      <c r="F5" s="235">
        <v>2340978</v>
      </c>
      <c r="G5" s="236">
        <v>496080</v>
      </c>
      <c r="H5" s="235">
        <v>3688918</v>
      </c>
      <c r="I5" s="235">
        <v>3095238</v>
      </c>
      <c r="J5" s="236">
        <v>593680</v>
      </c>
    </row>
    <row r="6" spans="1:11" ht="15.75" thickBot="1" x14ac:dyDescent="0.3">
      <c r="A6" s="116" t="s">
        <v>236</v>
      </c>
      <c r="B6" s="237">
        <v>3114377</v>
      </c>
      <c r="C6" s="238">
        <v>2431817</v>
      </c>
      <c r="D6" s="238">
        <v>682560</v>
      </c>
      <c r="E6" s="237">
        <v>4113337</v>
      </c>
      <c r="F6" s="238">
        <v>3223017</v>
      </c>
      <c r="G6" s="239">
        <v>890320</v>
      </c>
      <c r="H6" s="238">
        <v>5537576</v>
      </c>
      <c r="I6" s="238">
        <v>4146296</v>
      </c>
      <c r="J6" s="239">
        <v>1391280</v>
      </c>
    </row>
    <row r="7" spans="1:11" ht="45.75" thickBot="1" x14ac:dyDescent="0.3">
      <c r="A7" s="245" t="s">
        <v>158</v>
      </c>
      <c r="B7" s="102"/>
      <c r="C7" s="247"/>
      <c r="D7" s="165">
        <v>500000</v>
      </c>
      <c r="E7" s="248"/>
      <c r="F7" s="238"/>
      <c r="G7" s="165">
        <v>500000</v>
      </c>
      <c r="H7" s="249"/>
      <c r="I7" s="238"/>
      <c r="J7" s="165">
        <v>500000</v>
      </c>
    </row>
    <row r="8" spans="1:11" ht="15.75" thickBot="1" x14ac:dyDescent="0.3">
      <c r="A8" s="246" t="s">
        <v>153</v>
      </c>
      <c r="B8" s="251">
        <v>3614377</v>
      </c>
      <c r="C8" s="250">
        <v>2431817</v>
      </c>
      <c r="D8" s="252">
        <v>1182560</v>
      </c>
      <c r="E8" s="251">
        <v>4613337</v>
      </c>
      <c r="F8" s="250">
        <v>3223017</v>
      </c>
      <c r="G8" s="252">
        <v>1390320</v>
      </c>
      <c r="H8" s="251">
        <v>6037576</v>
      </c>
      <c r="I8" s="250">
        <v>4146296</v>
      </c>
      <c r="J8" s="252">
        <v>1891280</v>
      </c>
    </row>
    <row r="9" spans="1:11" x14ac:dyDescent="0.25">
      <c r="A9" s="244"/>
    </row>
    <row r="10" spans="1:11" x14ac:dyDescent="0.25">
      <c r="A10" s="244"/>
    </row>
    <row r="11" spans="1:11" ht="15.75" thickBot="1" x14ac:dyDescent="0.3"/>
    <row r="12" spans="1:11" ht="15.75" thickBot="1" x14ac:dyDescent="0.3">
      <c r="A12" s="108"/>
      <c r="B12" s="191" t="s">
        <v>171</v>
      </c>
      <c r="C12" s="191"/>
      <c r="D12" s="191"/>
      <c r="E12" s="191"/>
      <c r="F12" s="191"/>
      <c r="G12" s="191"/>
      <c r="H12" s="191"/>
      <c r="I12" s="191"/>
      <c r="J12" s="192"/>
      <c r="K12" s="117"/>
    </row>
    <row r="13" spans="1:11" ht="15.75" thickBot="1" x14ac:dyDescent="0.3">
      <c r="A13" s="102"/>
      <c r="B13" s="193" t="s">
        <v>164</v>
      </c>
      <c r="C13" s="194"/>
      <c r="D13" s="195"/>
      <c r="E13" s="196" t="s">
        <v>165</v>
      </c>
      <c r="F13" s="197"/>
      <c r="G13" s="198"/>
      <c r="H13" s="199" t="s">
        <v>166</v>
      </c>
      <c r="I13" s="199"/>
      <c r="J13" s="200"/>
    </row>
    <row r="14" spans="1:11" ht="15.75" thickBot="1" x14ac:dyDescent="0.3">
      <c r="A14" s="102" t="s">
        <v>145</v>
      </c>
      <c r="B14" s="103" t="s">
        <v>167</v>
      </c>
      <c r="C14" s="104" t="s">
        <v>148</v>
      </c>
      <c r="D14" s="105" t="s">
        <v>149</v>
      </c>
      <c r="E14" s="103" t="s">
        <v>167</v>
      </c>
      <c r="F14" s="104" t="s">
        <v>148</v>
      </c>
      <c r="G14" s="105" t="s">
        <v>149</v>
      </c>
      <c r="H14" s="103" t="s">
        <v>167</v>
      </c>
      <c r="I14" s="104" t="s">
        <v>148</v>
      </c>
      <c r="J14" s="105" t="s">
        <v>149</v>
      </c>
    </row>
    <row r="15" spans="1:11" x14ac:dyDescent="0.25">
      <c r="A15" s="109" t="s">
        <v>147</v>
      </c>
      <c r="B15" s="240">
        <v>1326779</v>
      </c>
      <c r="C15" s="241">
        <v>824899</v>
      </c>
      <c r="D15" s="242">
        <v>501880</v>
      </c>
      <c r="E15" s="231">
        <v>1600279</v>
      </c>
      <c r="F15" s="232">
        <v>882039</v>
      </c>
      <c r="G15" s="232">
        <v>718240</v>
      </c>
      <c r="H15" s="231">
        <v>2748658</v>
      </c>
      <c r="I15" s="232">
        <v>1051058</v>
      </c>
      <c r="J15" s="233">
        <v>1697600</v>
      </c>
    </row>
    <row r="16" spans="1:11" ht="15.75" thickBot="1" x14ac:dyDescent="0.3">
      <c r="A16" s="110" t="s">
        <v>146</v>
      </c>
      <c r="B16" s="243">
        <v>2363598</v>
      </c>
      <c r="C16" s="235">
        <v>1606918</v>
      </c>
      <c r="D16" s="236">
        <v>756680</v>
      </c>
      <c r="E16" s="234">
        <v>3380058</v>
      </c>
      <c r="F16" s="235">
        <v>2340978</v>
      </c>
      <c r="G16" s="235">
        <v>1039080</v>
      </c>
      <c r="H16" s="234">
        <v>4366918</v>
      </c>
      <c r="I16" s="235">
        <v>3095238</v>
      </c>
      <c r="J16" s="236">
        <v>1271680</v>
      </c>
    </row>
    <row r="17" spans="1:10" ht="15.75" thickBot="1" x14ac:dyDescent="0.3">
      <c r="A17" s="116" t="s">
        <v>236</v>
      </c>
      <c r="B17" s="237">
        <v>3690377</v>
      </c>
      <c r="C17" s="238">
        <v>2431817</v>
      </c>
      <c r="D17" s="238">
        <v>1258560</v>
      </c>
      <c r="E17" s="237">
        <v>4980337</v>
      </c>
      <c r="F17" s="238">
        <v>3223017</v>
      </c>
      <c r="G17" s="239">
        <v>1757320</v>
      </c>
      <c r="H17" s="238">
        <v>7115576</v>
      </c>
      <c r="I17" s="238">
        <v>4146296</v>
      </c>
      <c r="J17" s="239">
        <v>2969280</v>
      </c>
    </row>
    <row r="18" spans="1:10" ht="45.75" thickBot="1" x14ac:dyDescent="0.3">
      <c r="A18" s="253" t="s">
        <v>158</v>
      </c>
      <c r="B18" s="258"/>
      <c r="C18" s="255"/>
      <c r="D18" s="256">
        <v>500000</v>
      </c>
      <c r="E18" s="258"/>
      <c r="F18" s="255"/>
      <c r="G18" s="257">
        <v>500000</v>
      </c>
      <c r="H18" s="254"/>
      <c r="I18" s="254"/>
      <c r="J18" s="257">
        <v>500000</v>
      </c>
    </row>
    <row r="19" spans="1:10" ht="15.75" thickBot="1" x14ac:dyDescent="0.3">
      <c r="A19" s="259" t="s">
        <v>153</v>
      </c>
      <c r="B19" s="251">
        <v>4190377</v>
      </c>
      <c r="C19" s="260">
        <v>2431817</v>
      </c>
      <c r="D19" s="260">
        <v>1758560</v>
      </c>
      <c r="E19" s="251">
        <v>5480337</v>
      </c>
      <c r="F19" s="260">
        <v>3223017</v>
      </c>
      <c r="G19" s="260">
        <v>2257320</v>
      </c>
      <c r="H19" s="251">
        <v>7615576</v>
      </c>
      <c r="I19" s="260">
        <v>4146296</v>
      </c>
      <c r="J19" s="252">
        <v>3469280</v>
      </c>
    </row>
    <row r="21" spans="1:10" x14ac:dyDescent="0.25">
      <c r="A21" s="111" t="s">
        <v>168</v>
      </c>
    </row>
    <row r="24" spans="1:10" x14ac:dyDescent="0.25">
      <c r="A24" s="5" t="s">
        <v>172</v>
      </c>
    </row>
    <row r="25" spans="1:10" x14ac:dyDescent="0.25">
      <c r="A25" s="100" t="s">
        <v>173</v>
      </c>
    </row>
  </sheetData>
  <mergeCells count="8">
    <mergeCell ref="B1:J1"/>
    <mergeCell ref="B2:D2"/>
    <mergeCell ref="E2:G2"/>
    <mergeCell ref="H2:J2"/>
    <mergeCell ref="B12:J12"/>
    <mergeCell ref="B13:D13"/>
    <mergeCell ref="E13:G13"/>
    <mergeCell ref="H13:J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B891A-4795-44B5-8E34-E4889D71C64F}">
  <dimension ref="A1:K81"/>
  <sheetViews>
    <sheetView zoomScale="85" zoomScaleNormal="85" workbookViewId="0"/>
  </sheetViews>
  <sheetFormatPr defaultColWidth="21" defaultRowHeight="15" x14ac:dyDescent="0.25"/>
  <cols>
    <col min="1" max="1" width="58.7109375" customWidth="1"/>
    <col min="2" max="2" width="26.85546875" customWidth="1"/>
    <col min="3" max="3" width="15.5703125" customWidth="1"/>
    <col min="4" max="4" width="24.7109375" customWidth="1"/>
    <col min="5" max="5" width="27.42578125" customWidth="1"/>
    <col min="6" max="6" width="17.28515625" customWidth="1"/>
    <col min="7" max="7" width="19.85546875" customWidth="1"/>
    <col min="8" max="8" width="25.28515625" customWidth="1"/>
    <col min="9" max="9" width="15.5703125" customWidth="1"/>
    <col min="10" max="10" width="20.85546875" bestFit="1" customWidth="1"/>
    <col min="11" max="11" width="63.140625" customWidth="1"/>
  </cols>
  <sheetData>
    <row r="1" spans="1:10" ht="15.75" thickBot="1" x14ac:dyDescent="0.3">
      <c r="A1" s="119"/>
      <c r="B1" s="189" t="s">
        <v>170</v>
      </c>
      <c r="C1" s="189"/>
      <c r="D1" s="189"/>
      <c r="E1" s="189"/>
      <c r="F1" s="189"/>
      <c r="G1" s="189"/>
      <c r="H1" s="189"/>
      <c r="I1" s="189"/>
      <c r="J1" s="190"/>
    </row>
    <row r="2" spans="1:10" ht="15.75" thickBot="1" x14ac:dyDescent="0.3">
      <c r="A2" s="120"/>
      <c r="B2" s="181" t="s">
        <v>164</v>
      </c>
      <c r="C2" s="182"/>
      <c r="D2" s="183"/>
      <c r="E2" s="184" t="s">
        <v>165</v>
      </c>
      <c r="F2" s="185"/>
      <c r="G2" s="186"/>
      <c r="H2" s="187" t="s">
        <v>166</v>
      </c>
      <c r="I2" s="187"/>
      <c r="J2" s="188"/>
    </row>
    <row r="3" spans="1:10" ht="45.75" thickBot="1" x14ac:dyDescent="0.3">
      <c r="A3" s="136" t="s">
        <v>145</v>
      </c>
      <c r="B3" s="121" t="s">
        <v>176</v>
      </c>
      <c r="C3" s="122" t="s">
        <v>148</v>
      </c>
      <c r="D3" s="123" t="s">
        <v>177</v>
      </c>
      <c r="E3" s="121" t="s">
        <v>176</v>
      </c>
      <c r="F3" s="122" t="s">
        <v>148</v>
      </c>
      <c r="G3" s="123" t="s">
        <v>177</v>
      </c>
      <c r="H3" s="121" t="s">
        <v>176</v>
      </c>
      <c r="I3" s="122" t="s">
        <v>148</v>
      </c>
      <c r="J3" s="123" t="s">
        <v>177</v>
      </c>
    </row>
    <row r="4" spans="1:10" x14ac:dyDescent="0.25">
      <c r="A4" s="137" t="s">
        <v>178</v>
      </c>
      <c r="B4" s="138">
        <f>C4+D4</f>
        <v>1128779</v>
      </c>
      <c r="C4" s="139">
        <f>SUM(C5:C18)</f>
        <v>824899</v>
      </c>
      <c r="D4" s="140">
        <f>SUM(D5:D18)</f>
        <v>303880</v>
      </c>
      <c r="E4" s="138">
        <f>F4+G4</f>
        <v>1276279</v>
      </c>
      <c r="F4" s="139">
        <f>SUM(F5:F18)</f>
        <v>882039</v>
      </c>
      <c r="G4" s="140">
        <f>SUM(G5:G18)</f>
        <v>394240</v>
      </c>
      <c r="H4" s="138">
        <f>I4+J4</f>
        <v>1848658</v>
      </c>
      <c r="I4" s="139">
        <f>SUM(I5:I18)</f>
        <v>1051058</v>
      </c>
      <c r="J4" s="140">
        <f>SUM(J5:J18)</f>
        <v>797600</v>
      </c>
    </row>
    <row r="5" spans="1:10" x14ac:dyDescent="0.25">
      <c r="A5" s="124" t="s">
        <v>179</v>
      </c>
      <c r="B5" s="141"/>
      <c r="C5" s="142">
        <f>3500*3</f>
        <v>10500</v>
      </c>
      <c r="D5" s="143"/>
      <c r="E5" s="141"/>
      <c r="F5" s="142">
        <f>5*3500</f>
        <v>17500</v>
      </c>
      <c r="G5" s="144"/>
      <c r="H5" s="145"/>
      <c r="I5" s="142">
        <v>21000</v>
      </c>
      <c r="J5" s="144"/>
    </row>
    <row r="6" spans="1:10" x14ac:dyDescent="0.25">
      <c r="A6" s="124" t="s">
        <v>180</v>
      </c>
      <c r="B6" s="141"/>
      <c r="C6" s="142">
        <f>6*3500</f>
        <v>21000</v>
      </c>
      <c r="D6" s="143"/>
      <c r="E6" s="141"/>
      <c r="F6" s="142">
        <f>9*3500</f>
        <v>31500</v>
      </c>
      <c r="G6" s="144"/>
      <c r="H6" s="145"/>
      <c r="I6" s="142">
        <f>12*3500</f>
        <v>42000</v>
      </c>
      <c r="J6" s="144"/>
    </row>
    <row r="7" spans="1:10" x14ac:dyDescent="0.25">
      <c r="A7" s="124" t="s">
        <v>181</v>
      </c>
      <c r="B7" s="141"/>
      <c r="C7" s="142">
        <v>6500</v>
      </c>
      <c r="D7" s="143"/>
      <c r="E7" s="141"/>
      <c r="F7" s="142">
        <v>6500</v>
      </c>
      <c r="G7" s="144"/>
      <c r="H7" s="145"/>
      <c r="I7" s="142">
        <v>6500</v>
      </c>
      <c r="J7" s="144"/>
    </row>
    <row r="8" spans="1:10" x14ac:dyDescent="0.25">
      <c r="A8" s="124" t="s">
        <v>182</v>
      </c>
      <c r="B8" s="141"/>
      <c r="C8" s="142">
        <v>6500</v>
      </c>
      <c r="D8" s="143"/>
      <c r="E8" s="141"/>
      <c r="F8" s="142">
        <v>6500</v>
      </c>
      <c r="G8" s="144"/>
      <c r="H8" s="145"/>
      <c r="I8" s="142">
        <v>6500</v>
      </c>
      <c r="J8" s="144"/>
    </row>
    <row r="9" spans="1:10" x14ac:dyDescent="0.25">
      <c r="A9" s="124" t="s">
        <v>183</v>
      </c>
      <c r="B9" s="141"/>
      <c r="C9" s="142">
        <v>160</v>
      </c>
      <c r="D9" s="143"/>
      <c r="E9" s="141"/>
      <c r="F9" s="142">
        <f>40*15</f>
        <v>600</v>
      </c>
      <c r="G9" s="144"/>
      <c r="H9" s="145"/>
      <c r="I9" s="142">
        <v>1600</v>
      </c>
      <c r="J9" s="144"/>
    </row>
    <row r="10" spans="1:10" x14ac:dyDescent="0.25">
      <c r="A10" s="124" t="s">
        <v>184</v>
      </c>
      <c r="B10" s="141"/>
      <c r="C10" s="142">
        <f>40*120</f>
        <v>4800</v>
      </c>
      <c r="D10" s="143"/>
      <c r="E10" s="141"/>
      <c r="F10" s="142">
        <f>40*180</f>
        <v>7200</v>
      </c>
      <c r="G10" s="144"/>
      <c r="H10" s="145"/>
      <c r="I10" s="142">
        <f>400*40</f>
        <v>16000</v>
      </c>
      <c r="J10" s="144"/>
    </row>
    <row r="11" spans="1:10" x14ac:dyDescent="0.25">
      <c r="A11" s="124" t="s">
        <v>185</v>
      </c>
      <c r="B11" s="141"/>
      <c r="C11" s="142">
        <v>10000</v>
      </c>
      <c r="D11" s="143"/>
      <c r="E11" s="141"/>
      <c r="F11" s="142">
        <f>15*2500</f>
        <v>37500</v>
      </c>
      <c r="G11" s="144"/>
      <c r="H11" s="145"/>
      <c r="I11" s="142">
        <v>100000</v>
      </c>
      <c r="J11" s="144"/>
    </row>
    <row r="12" spans="1:10" x14ac:dyDescent="0.25">
      <c r="A12" s="124" t="s">
        <v>186</v>
      </c>
      <c r="B12" s="141"/>
      <c r="C12" s="142">
        <f>6*3100</f>
        <v>18600</v>
      </c>
      <c r="D12" s="143"/>
      <c r="E12" s="141"/>
      <c r="F12" s="142">
        <f>9*3100</f>
        <v>27900</v>
      </c>
      <c r="G12" s="144"/>
      <c r="H12" s="145"/>
      <c r="I12" s="142">
        <f>12*3100</f>
        <v>37200</v>
      </c>
      <c r="J12" s="144"/>
    </row>
    <row r="13" spans="1:10" x14ac:dyDescent="0.25">
      <c r="A13" s="124" t="s">
        <v>187</v>
      </c>
      <c r="B13" s="141"/>
      <c r="C13" s="142">
        <f>600000+146839</f>
        <v>746839</v>
      </c>
      <c r="D13" s="143"/>
      <c r="E13" s="141"/>
      <c r="F13" s="142">
        <f>600000+146839</f>
        <v>746839</v>
      </c>
      <c r="G13" s="144"/>
      <c r="H13" s="145"/>
      <c r="I13" s="142">
        <f>600000+220258</f>
        <v>820258</v>
      </c>
      <c r="J13" s="144"/>
    </row>
    <row r="14" spans="1:10" x14ac:dyDescent="0.25">
      <c r="A14" s="124" t="s">
        <v>188</v>
      </c>
      <c r="B14" s="145"/>
      <c r="C14" s="142"/>
      <c r="D14" s="144">
        <v>113600</v>
      </c>
      <c r="E14" s="145"/>
      <c r="F14" s="142"/>
      <c r="G14" s="144">
        <v>113600</v>
      </c>
      <c r="H14" s="145"/>
      <c r="I14" s="142"/>
      <c r="J14" s="144">
        <v>113600</v>
      </c>
    </row>
    <row r="15" spans="1:10" x14ac:dyDescent="0.25">
      <c r="A15" s="124" t="s">
        <v>189</v>
      </c>
      <c r="B15" s="141"/>
      <c r="C15" s="133"/>
      <c r="D15" s="144">
        <v>3000</v>
      </c>
      <c r="E15" s="141"/>
      <c r="F15" s="142"/>
      <c r="G15" s="144">
        <v>6000</v>
      </c>
      <c r="H15" s="145"/>
      <c r="I15" s="142"/>
      <c r="J15" s="144">
        <v>10000</v>
      </c>
    </row>
    <row r="16" spans="1:10" x14ac:dyDescent="0.25">
      <c r="A16" s="124" t="s">
        <v>190</v>
      </c>
      <c r="B16" s="141"/>
      <c r="C16" s="133"/>
      <c r="D16" s="144">
        <v>50000</v>
      </c>
      <c r="E16" s="141"/>
      <c r="F16" s="142"/>
      <c r="G16" s="144">
        <v>50000</v>
      </c>
      <c r="H16" s="145"/>
      <c r="I16" s="142"/>
      <c r="J16" s="144">
        <v>50000</v>
      </c>
    </row>
    <row r="17" spans="1:10" x14ac:dyDescent="0.25">
      <c r="A17" s="124" t="s">
        <v>191</v>
      </c>
      <c r="B17" s="141"/>
      <c r="C17" s="133"/>
      <c r="D17" s="144">
        <v>12480</v>
      </c>
      <c r="E17" s="141"/>
      <c r="F17" s="142"/>
      <c r="G17" s="144">
        <f>12*3*(40+1000)</f>
        <v>37440</v>
      </c>
      <c r="H17" s="145"/>
      <c r="I17" s="142"/>
      <c r="J17" s="144">
        <v>124800</v>
      </c>
    </row>
    <row r="18" spans="1:10" x14ac:dyDescent="0.25">
      <c r="A18" s="124" t="s">
        <v>192</v>
      </c>
      <c r="B18" s="141"/>
      <c r="C18" s="133"/>
      <c r="D18" s="144">
        <f>60*2*(40+1000)</f>
        <v>124800</v>
      </c>
      <c r="E18" s="141"/>
      <c r="F18" s="142"/>
      <c r="G18" s="144">
        <f>90*2*(40+1000)</f>
        <v>187200</v>
      </c>
      <c r="H18" s="145"/>
      <c r="I18" s="142"/>
      <c r="J18" s="144">
        <f>240*2*(40+1000)</f>
        <v>499200</v>
      </c>
    </row>
    <row r="19" spans="1:10" x14ac:dyDescent="0.25">
      <c r="A19" s="146" t="s">
        <v>193</v>
      </c>
      <c r="B19" s="147">
        <f>C19+D19</f>
        <v>1985598</v>
      </c>
      <c r="C19" s="148">
        <f>SUM(C20:C33)</f>
        <v>1606918</v>
      </c>
      <c r="D19" s="149">
        <f>SUM(D29:D33)</f>
        <v>378680</v>
      </c>
      <c r="E19" s="147">
        <f>F19+G19</f>
        <v>2837058</v>
      </c>
      <c r="F19" s="148">
        <f>SUM(F20:F33)</f>
        <v>2340978</v>
      </c>
      <c r="G19" s="149">
        <f>SUM(G29:G33)</f>
        <v>496080</v>
      </c>
      <c r="H19" s="147">
        <f>I19+J19</f>
        <v>3688918</v>
      </c>
      <c r="I19" s="148">
        <f>SUM(I20:I33)</f>
        <v>3095238</v>
      </c>
      <c r="J19" s="150">
        <f>SUM(J29:J33)</f>
        <v>593680</v>
      </c>
    </row>
    <row r="20" spans="1:10" x14ac:dyDescent="0.25">
      <c r="A20" s="125" t="s">
        <v>194</v>
      </c>
      <c r="B20" s="151"/>
      <c r="C20" s="152">
        <f>6*3500</f>
        <v>21000</v>
      </c>
      <c r="D20" s="153"/>
      <c r="E20" s="151"/>
      <c r="F20" s="152">
        <f>9*5000</f>
        <v>45000</v>
      </c>
      <c r="G20" s="154"/>
      <c r="H20" s="155"/>
      <c r="I20" s="152">
        <f>12*2*3500</f>
        <v>84000</v>
      </c>
      <c r="J20" s="154"/>
    </row>
    <row r="21" spans="1:10" x14ac:dyDescent="0.25">
      <c r="A21" s="124" t="s">
        <v>195</v>
      </c>
      <c r="B21" s="151"/>
      <c r="C21" s="152">
        <v>6500</v>
      </c>
      <c r="D21" s="153"/>
      <c r="E21" s="151"/>
      <c r="F21" s="152">
        <v>6500</v>
      </c>
      <c r="G21" s="154"/>
      <c r="H21" s="155"/>
      <c r="I21" s="152">
        <v>6500</v>
      </c>
      <c r="J21" s="154"/>
    </row>
    <row r="22" spans="1:10" x14ac:dyDescent="0.25">
      <c r="A22" s="124" t="s">
        <v>196</v>
      </c>
      <c r="B22" s="151"/>
      <c r="C22" s="152">
        <f>4800*3</f>
        <v>14400</v>
      </c>
      <c r="D22" s="153"/>
      <c r="E22" s="151"/>
      <c r="F22" s="152">
        <f>7200*3</f>
        <v>21600</v>
      </c>
      <c r="G22" s="156"/>
      <c r="H22" s="155"/>
      <c r="I22" s="152">
        <f>16000*3</f>
        <v>48000</v>
      </c>
      <c r="J22" s="154"/>
    </row>
    <row r="23" spans="1:10" x14ac:dyDescent="0.25">
      <c r="A23" s="124" t="s">
        <v>197</v>
      </c>
      <c r="B23" s="151"/>
      <c r="C23" s="152">
        <f>18600*3</f>
        <v>55800</v>
      </c>
      <c r="D23" s="153"/>
      <c r="E23" s="151"/>
      <c r="F23" s="152">
        <f>27900*3</f>
        <v>83700</v>
      </c>
      <c r="G23" s="156"/>
      <c r="H23" s="155"/>
      <c r="I23" s="152">
        <f>37200*3</f>
        <v>111600</v>
      </c>
      <c r="J23" s="154"/>
    </row>
    <row r="24" spans="1:10" x14ac:dyDescent="0.25">
      <c r="A24" s="124" t="s">
        <v>198</v>
      </c>
      <c r="B24" s="151"/>
      <c r="C24" s="152">
        <f>160*6</f>
        <v>960</v>
      </c>
      <c r="D24" s="153"/>
      <c r="E24" s="151"/>
      <c r="F24" s="152">
        <f>320*6</f>
        <v>1920</v>
      </c>
      <c r="G24" s="154"/>
      <c r="H24" s="155"/>
      <c r="I24" s="152">
        <f>480*6</f>
        <v>2880</v>
      </c>
      <c r="J24" s="154"/>
    </row>
    <row r="25" spans="1:10" x14ac:dyDescent="0.25">
      <c r="A25" s="124" t="s">
        <v>199</v>
      </c>
      <c r="B25" s="151"/>
      <c r="C25" s="152">
        <f>10000*6</f>
        <v>60000</v>
      </c>
      <c r="D25" s="153"/>
      <c r="E25" s="151"/>
      <c r="F25" s="152">
        <f>20000*6</f>
        <v>120000</v>
      </c>
      <c r="G25" s="154"/>
      <c r="H25" s="155"/>
      <c r="I25" s="152">
        <f>30000*6</f>
        <v>180000</v>
      </c>
      <c r="J25" s="154"/>
    </row>
    <row r="26" spans="1:10" x14ac:dyDescent="0.25">
      <c r="A26" s="124" t="s">
        <v>200</v>
      </c>
      <c r="B26" s="151"/>
      <c r="C26" s="152">
        <f>800*4</f>
        <v>3200</v>
      </c>
      <c r="D26" s="153"/>
      <c r="E26" s="151"/>
      <c r="F26" s="152">
        <f>1200*4</f>
        <v>4800</v>
      </c>
      <c r="G26" s="154"/>
      <c r="H26" s="155"/>
      <c r="I26" s="152">
        <f>1200*4</f>
        <v>4800</v>
      </c>
      <c r="J26" s="154"/>
    </row>
    <row r="27" spans="1:10" x14ac:dyDescent="0.25">
      <c r="A27" s="124" t="s">
        <v>201</v>
      </c>
      <c r="B27" s="151"/>
      <c r="C27" s="152">
        <f>6200*4</f>
        <v>24800</v>
      </c>
      <c r="D27" s="153"/>
      <c r="E27" s="151"/>
      <c r="F27" s="152">
        <f>9300*4</f>
        <v>37200</v>
      </c>
      <c r="G27" s="154"/>
      <c r="H27" s="155"/>
      <c r="I27" s="152">
        <f>9300*4</f>
        <v>37200</v>
      </c>
      <c r="J27" s="154"/>
    </row>
    <row r="28" spans="1:10" x14ac:dyDescent="0.25">
      <c r="A28" s="124" t="s">
        <v>187</v>
      </c>
      <c r="B28" s="151"/>
      <c r="C28" s="152">
        <f>600000*2+220258</f>
        <v>1420258</v>
      </c>
      <c r="D28" s="153"/>
      <c r="E28" s="151"/>
      <c r="F28" s="152">
        <f>600000*3+220258</f>
        <v>2020258</v>
      </c>
      <c r="G28" s="154"/>
      <c r="H28" s="155"/>
      <c r="I28" s="152">
        <f>600000*4+220258</f>
        <v>2620258</v>
      </c>
      <c r="J28" s="154"/>
    </row>
    <row r="29" spans="1:10" x14ac:dyDescent="0.25">
      <c r="A29" s="124" t="s">
        <v>188</v>
      </c>
      <c r="B29" s="151"/>
      <c r="C29" s="157"/>
      <c r="D29" s="154">
        <v>113600</v>
      </c>
      <c r="E29" s="151"/>
      <c r="F29" s="152"/>
      <c r="G29" s="154">
        <v>113600</v>
      </c>
      <c r="H29" s="155"/>
      <c r="I29" s="152"/>
      <c r="J29" s="154">
        <v>113600</v>
      </c>
    </row>
    <row r="30" spans="1:10" x14ac:dyDescent="0.25">
      <c r="A30" s="124" t="s">
        <v>189</v>
      </c>
      <c r="B30" s="151"/>
      <c r="C30" s="157"/>
      <c r="D30" s="154">
        <v>3000</v>
      </c>
      <c r="E30" s="151"/>
      <c r="F30" s="152"/>
      <c r="G30" s="154">
        <v>6000</v>
      </c>
      <c r="H30" s="155"/>
      <c r="I30" s="152"/>
      <c r="J30" s="154">
        <v>10000</v>
      </c>
    </row>
    <row r="31" spans="1:10" x14ac:dyDescent="0.25">
      <c r="A31" s="124" t="s">
        <v>202</v>
      </c>
      <c r="B31" s="151"/>
      <c r="C31" s="157"/>
      <c r="D31" s="154">
        <f>60*3*(40+1000)</f>
        <v>187200</v>
      </c>
      <c r="E31" s="151"/>
      <c r="F31" s="152"/>
      <c r="G31" s="154">
        <f>280800</f>
        <v>280800</v>
      </c>
      <c r="H31" s="155"/>
      <c r="I31" s="152"/>
      <c r="J31" s="154">
        <f>374400</f>
        <v>374400</v>
      </c>
    </row>
    <row r="32" spans="1:10" x14ac:dyDescent="0.25">
      <c r="A32" s="124" t="s">
        <v>203</v>
      </c>
      <c r="B32" s="151"/>
      <c r="C32" s="157"/>
      <c r="D32" s="154">
        <f>8320*5</f>
        <v>41600</v>
      </c>
      <c r="E32" s="151"/>
      <c r="F32" s="152"/>
      <c r="G32" s="154">
        <f>12480*5</f>
        <v>62400</v>
      </c>
      <c r="H32" s="155"/>
      <c r="I32" s="152"/>
      <c r="J32" s="154">
        <f>12480*5</f>
        <v>62400</v>
      </c>
    </row>
    <row r="33" spans="1:11" ht="15.75" thickBot="1" x14ac:dyDescent="0.3">
      <c r="A33" s="124" t="s">
        <v>204</v>
      </c>
      <c r="B33" s="158"/>
      <c r="C33" s="159"/>
      <c r="D33" s="160">
        <f>8320*4</f>
        <v>33280</v>
      </c>
      <c r="E33" s="158"/>
      <c r="F33" s="161"/>
      <c r="G33" s="160">
        <f>8320*4</f>
        <v>33280</v>
      </c>
      <c r="H33" s="162"/>
      <c r="I33" s="161"/>
      <c r="J33" s="160">
        <f>8320*4</f>
        <v>33280</v>
      </c>
    </row>
    <row r="34" spans="1:11" ht="15.75" thickBot="1" x14ac:dyDescent="0.3">
      <c r="A34" s="116" t="s">
        <v>174</v>
      </c>
      <c r="B34" s="163">
        <f>D34+C34</f>
        <v>3114377</v>
      </c>
      <c r="C34" s="164">
        <f>C4+C19</f>
        <v>2431817</v>
      </c>
      <c r="D34" s="165">
        <f>D19+D4</f>
        <v>682560</v>
      </c>
      <c r="E34" s="163">
        <f>G34+F34</f>
        <v>4113337</v>
      </c>
      <c r="F34" s="164">
        <f>F4+F19</f>
        <v>3223017</v>
      </c>
      <c r="G34" s="165">
        <f>G19+G4</f>
        <v>890320</v>
      </c>
      <c r="H34" s="163">
        <f>J34+I34</f>
        <v>5537576</v>
      </c>
      <c r="I34" s="164">
        <f>I4+I19</f>
        <v>4146296</v>
      </c>
      <c r="J34" s="165">
        <f>J19+J4</f>
        <v>1391280</v>
      </c>
    </row>
    <row r="35" spans="1:11" ht="45" x14ac:dyDescent="0.25">
      <c r="A35" s="126" t="s">
        <v>175</v>
      </c>
      <c r="B35" s="78"/>
      <c r="C35" s="115"/>
      <c r="D35" s="166">
        <f>50000*10</f>
        <v>500000</v>
      </c>
      <c r="E35" s="78"/>
      <c r="F35" s="115"/>
      <c r="G35" s="178">
        <f>50000*10</f>
        <v>500000</v>
      </c>
      <c r="H35" s="179"/>
      <c r="I35" s="180"/>
      <c r="J35" s="178">
        <f>50000*10</f>
        <v>500000</v>
      </c>
      <c r="K35" s="127"/>
    </row>
    <row r="36" spans="1:11" ht="15.75" x14ac:dyDescent="0.25">
      <c r="A36" s="128" t="s">
        <v>205</v>
      </c>
      <c r="B36" s="167">
        <f>D36+C36</f>
        <v>3614377</v>
      </c>
      <c r="C36" s="167">
        <f>C34</f>
        <v>2431817</v>
      </c>
      <c r="D36" s="167">
        <f>D34+D35</f>
        <v>1182560</v>
      </c>
      <c r="E36" s="167">
        <f>G36+F36</f>
        <v>4613337</v>
      </c>
      <c r="F36" s="167">
        <f>F34</f>
        <v>3223017</v>
      </c>
      <c r="G36" s="167">
        <f>G34+G35</f>
        <v>1390320</v>
      </c>
      <c r="H36" s="167">
        <f>J36+I36</f>
        <v>6037576</v>
      </c>
      <c r="I36" s="167">
        <f>I34</f>
        <v>4146296</v>
      </c>
      <c r="J36" s="167">
        <f>J34+J35</f>
        <v>1891280</v>
      </c>
    </row>
    <row r="37" spans="1:11" ht="18.75" x14ac:dyDescent="0.3">
      <c r="A37" s="129"/>
      <c r="B37" s="130"/>
      <c r="C37" s="131"/>
      <c r="D37" s="130"/>
      <c r="E37" s="131"/>
      <c r="F37" s="131"/>
      <c r="G37" s="130"/>
      <c r="H37" s="131"/>
      <c r="I37" s="131"/>
      <c r="J37" s="130"/>
    </row>
    <row r="38" spans="1:11" ht="15.75" thickBot="1" x14ac:dyDescent="0.3"/>
    <row r="39" spans="1:11" ht="15.75" thickBot="1" x14ac:dyDescent="0.3">
      <c r="A39" s="132"/>
      <c r="B39" s="191" t="s">
        <v>171</v>
      </c>
      <c r="C39" s="191"/>
      <c r="D39" s="191"/>
      <c r="E39" s="191"/>
      <c r="F39" s="191"/>
      <c r="G39" s="191"/>
      <c r="H39" s="191"/>
      <c r="I39" s="191"/>
      <c r="J39" s="192"/>
    </row>
    <row r="40" spans="1:11" ht="15.75" thickBot="1" x14ac:dyDescent="0.3">
      <c r="A40" s="120"/>
      <c r="B40" s="181" t="s">
        <v>164</v>
      </c>
      <c r="C40" s="182"/>
      <c r="D40" s="183"/>
      <c r="E40" s="184" t="s">
        <v>165</v>
      </c>
      <c r="F40" s="185"/>
      <c r="G40" s="186"/>
      <c r="H40" s="187" t="s">
        <v>166</v>
      </c>
      <c r="I40" s="187"/>
      <c r="J40" s="188"/>
    </row>
    <row r="41" spans="1:11" ht="45.75" thickBot="1" x14ac:dyDescent="0.3">
      <c r="A41" s="120" t="s">
        <v>145</v>
      </c>
      <c r="B41" s="121" t="s">
        <v>176</v>
      </c>
      <c r="C41" s="122" t="s">
        <v>148</v>
      </c>
      <c r="D41" s="123" t="s">
        <v>177</v>
      </c>
      <c r="E41" s="121" t="s">
        <v>176</v>
      </c>
      <c r="F41" s="122" t="s">
        <v>148</v>
      </c>
      <c r="G41" s="123" t="s">
        <v>177</v>
      </c>
      <c r="H41" s="121" t="s">
        <v>176</v>
      </c>
      <c r="I41" s="122" t="s">
        <v>148</v>
      </c>
      <c r="J41" s="123" t="s">
        <v>177</v>
      </c>
    </row>
    <row r="42" spans="1:11" x14ac:dyDescent="0.25">
      <c r="A42" s="137" t="s">
        <v>178</v>
      </c>
      <c r="B42" s="138">
        <f>C42+D42</f>
        <v>1326779</v>
      </c>
      <c r="C42" s="139">
        <f>SUM(C43:C56)</f>
        <v>824899</v>
      </c>
      <c r="D42" s="140">
        <f>SUM(D43:D56)</f>
        <v>501880</v>
      </c>
      <c r="E42" s="138">
        <f>F42+G42</f>
        <v>1600279</v>
      </c>
      <c r="F42" s="139">
        <f>SUM(F43:F56)</f>
        <v>882039</v>
      </c>
      <c r="G42" s="140">
        <f>SUM(G43:G56)</f>
        <v>718240</v>
      </c>
      <c r="H42" s="138">
        <f>I42+J42</f>
        <v>2748658</v>
      </c>
      <c r="I42" s="139">
        <f>SUM(I43:I56)</f>
        <v>1051058</v>
      </c>
      <c r="J42" s="140">
        <f>SUM(J43:J56)</f>
        <v>1697600</v>
      </c>
    </row>
    <row r="43" spans="1:11" x14ac:dyDescent="0.25">
      <c r="A43" s="124" t="s">
        <v>179</v>
      </c>
      <c r="B43" s="141"/>
      <c r="C43" s="142">
        <f>3500*3</f>
        <v>10500</v>
      </c>
      <c r="D43" s="143"/>
      <c r="E43" s="141"/>
      <c r="F43" s="142">
        <f>5*3500</f>
        <v>17500</v>
      </c>
      <c r="G43" s="133"/>
      <c r="H43" s="141"/>
      <c r="I43" s="142">
        <v>21000</v>
      </c>
      <c r="J43" s="143"/>
    </row>
    <row r="44" spans="1:11" x14ac:dyDescent="0.25">
      <c r="A44" s="124" t="s">
        <v>180</v>
      </c>
      <c r="B44" s="141"/>
      <c r="C44" s="142">
        <f>6*3500</f>
        <v>21000</v>
      </c>
      <c r="D44" s="143"/>
      <c r="E44" s="141"/>
      <c r="F44" s="142">
        <f>9*3500</f>
        <v>31500</v>
      </c>
      <c r="G44" s="133"/>
      <c r="H44" s="141"/>
      <c r="I44" s="142">
        <f>12*3500</f>
        <v>42000</v>
      </c>
      <c r="J44" s="143"/>
    </row>
    <row r="45" spans="1:11" x14ac:dyDescent="0.25">
      <c r="A45" s="124" t="s">
        <v>181</v>
      </c>
      <c r="B45" s="141"/>
      <c r="C45" s="142">
        <v>6500</v>
      </c>
      <c r="D45" s="143"/>
      <c r="E45" s="141"/>
      <c r="F45" s="142">
        <v>6500</v>
      </c>
      <c r="G45" s="133"/>
      <c r="H45" s="141"/>
      <c r="I45" s="142">
        <v>6500</v>
      </c>
      <c r="J45" s="143"/>
    </row>
    <row r="46" spans="1:11" x14ac:dyDescent="0.25">
      <c r="A46" s="124" t="s">
        <v>182</v>
      </c>
      <c r="B46" s="141"/>
      <c r="C46" s="142">
        <v>6500</v>
      </c>
      <c r="D46" s="143"/>
      <c r="E46" s="141"/>
      <c r="F46" s="142">
        <v>6500</v>
      </c>
      <c r="G46" s="133"/>
      <c r="H46" s="141"/>
      <c r="I46" s="142">
        <v>6500</v>
      </c>
      <c r="J46" s="143"/>
    </row>
    <row r="47" spans="1:11" x14ac:dyDescent="0.25">
      <c r="A47" s="124" t="s">
        <v>183</v>
      </c>
      <c r="B47" s="141"/>
      <c r="C47" s="142">
        <v>160</v>
      </c>
      <c r="D47" s="143"/>
      <c r="E47" s="141"/>
      <c r="F47" s="142">
        <f>40*15</f>
        <v>600</v>
      </c>
      <c r="G47" s="133"/>
      <c r="H47" s="141"/>
      <c r="I47" s="142">
        <v>1600</v>
      </c>
      <c r="J47" s="143"/>
    </row>
    <row r="48" spans="1:11" x14ac:dyDescent="0.25">
      <c r="A48" s="124" t="s">
        <v>184</v>
      </c>
      <c r="B48" s="141"/>
      <c r="C48" s="142">
        <f>40*120</f>
        <v>4800</v>
      </c>
      <c r="D48" s="143"/>
      <c r="E48" s="141"/>
      <c r="F48" s="142">
        <f>40*180</f>
        <v>7200</v>
      </c>
      <c r="G48" s="133"/>
      <c r="H48" s="141"/>
      <c r="I48" s="142">
        <f>400*40</f>
        <v>16000</v>
      </c>
      <c r="J48" s="143"/>
    </row>
    <row r="49" spans="1:11" x14ac:dyDescent="0.25">
      <c r="A49" s="124" t="s">
        <v>185</v>
      </c>
      <c r="B49" s="141"/>
      <c r="C49" s="142">
        <v>10000</v>
      </c>
      <c r="D49" s="143"/>
      <c r="E49" s="141"/>
      <c r="F49" s="142">
        <f>15*2500</f>
        <v>37500</v>
      </c>
      <c r="G49" s="133"/>
      <c r="H49" s="141"/>
      <c r="I49" s="142">
        <v>100000</v>
      </c>
      <c r="J49" s="143"/>
    </row>
    <row r="50" spans="1:11" x14ac:dyDescent="0.25">
      <c r="A50" s="124" t="s">
        <v>186</v>
      </c>
      <c r="B50" s="141"/>
      <c r="C50" s="142">
        <f>6*3100</f>
        <v>18600</v>
      </c>
      <c r="D50" s="143"/>
      <c r="E50" s="141"/>
      <c r="F50" s="142">
        <f>9*3100</f>
        <v>27900</v>
      </c>
      <c r="G50" s="133"/>
      <c r="H50" s="141"/>
      <c r="I50" s="142">
        <f>12*3100</f>
        <v>37200</v>
      </c>
      <c r="J50" s="143"/>
    </row>
    <row r="51" spans="1:11" x14ac:dyDescent="0.25">
      <c r="A51" s="124" t="s">
        <v>187</v>
      </c>
      <c r="B51" s="141"/>
      <c r="C51" s="142">
        <f>600000+146839</f>
        <v>746839</v>
      </c>
      <c r="D51" s="143"/>
      <c r="E51" s="141"/>
      <c r="F51" s="142">
        <f>600000+146839</f>
        <v>746839</v>
      </c>
      <c r="G51" s="133"/>
      <c r="H51" s="141"/>
      <c r="I51" s="142">
        <f>600000+220258</f>
        <v>820258</v>
      </c>
      <c r="J51" s="143"/>
    </row>
    <row r="52" spans="1:11" x14ac:dyDescent="0.25">
      <c r="A52" s="124" t="s">
        <v>188</v>
      </c>
      <c r="B52" s="141"/>
      <c r="C52" s="133"/>
      <c r="D52" s="144">
        <v>113600</v>
      </c>
      <c r="E52" s="141"/>
      <c r="F52" s="133"/>
      <c r="G52" s="144">
        <v>113600</v>
      </c>
      <c r="H52" s="141"/>
      <c r="I52" s="133"/>
      <c r="J52" s="144">
        <v>113600</v>
      </c>
    </row>
    <row r="53" spans="1:11" x14ac:dyDescent="0.25">
      <c r="A53" s="124" t="s">
        <v>189</v>
      </c>
      <c r="B53" s="151"/>
      <c r="C53" s="157"/>
      <c r="D53" s="154">
        <v>3000</v>
      </c>
      <c r="E53" s="151"/>
      <c r="F53" s="157"/>
      <c r="G53" s="154">
        <v>6000</v>
      </c>
      <c r="H53" s="151"/>
      <c r="I53" s="157"/>
      <c r="J53" s="154">
        <v>10000</v>
      </c>
      <c r="K53" s="78"/>
    </row>
    <row r="54" spans="1:11" x14ac:dyDescent="0.25">
      <c r="A54" s="124" t="s">
        <v>190</v>
      </c>
      <c r="B54" s="151"/>
      <c r="C54" s="157"/>
      <c r="D54" s="154">
        <v>50000</v>
      </c>
      <c r="E54" s="151"/>
      <c r="F54" s="157"/>
      <c r="G54" s="144">
        <v>50000</v>
      </c>
      <c r="H54" s="151"/>
      <c r="I54" s="157"/>
      <c r="J54" s="144">
        <v>50000</v>
      </c>
      <c r="K54" s="78"/>
    </row>
    <row r="55" spans="1:11" x14ac:dyDescent="0.25">
      <c r="A55" s="124" t="s">
        <v>191</v>
      </c>
      <c r="B55" s="168"/>
      <c r="C55" s="169"/>
      <c r="D55" s="154">
        <f>4*3*(40+2500)</f>
        <v>30480</v>
      </c>
      <c r="E55" s="170"/>
      <c r="F55" s="171"/>
      <c r="G55" s="152">
        <f>12*3*(40+2500)</f>
        <v>91440</v>
      </c>
      <c r="H55" s="170"/>
      <c r="I55" s="171"/>
      <c r="J55" s="154">
        <f>40*3*(40+2500)</f>
        <v>304800</v>
      </c>
      <c r="K55" s="78"/>
    </row>
    <row r="56" spans="1:11" x14ac:dyDescent="0.25">
      <c r="A56" s="124" t="s">
        <v>192</v>
      </c>
      <c r="B56" s="168"/>
      <c r="C56" s="169"/>
      <c r="D56" s="154">
        <f>60*2*(40+2500)</f>
        <v>304800</v>
      </c>
      <c r="E56" s="170"/>
      <c r="F56" s="171"/>
      <c r="G56" s="152">
        <f>90*2*(40+2500)</f>
        <v>457200</v>
      </c>
      <c r="H56" s="170"/>
      <c r="I56" s="171"/>
      <c r="J56" s="172">
        <f>240*2*(40+2500)</f>
        <v>1219200</v>
      </c>
      <c r="K56" s="78"/>
    </row>
    <row r="57" spans="1:11" x14ac:dyDescent="0.25">
      <c r="A57" s="146" t="s">
        <v>193</v>
      </c>
      <c r="B57" s="147">
        <f>C57+D57</f>
        <v>2363598</v>
      </c>
      <c r="C57" s="148">
        <f>SUM(C58:C71)</f>
        <v>1606918</v>
      </c>
      <c r="D57" s="149">
        <f>SUM(D67:D71)</f>
        <v>756680</v>
      </c>
      <c r="E57" s="147">
        <f>F57+G57</f>
        <v>3380058</v>
      </c>
      <c r="F57" s="148">
        <f>SUM(F58:F71)</f>
        <v>2340978</v>
      </c>
      <c r="G57" s="149">
        <f>SUM(G67:G71)</f>
        <v>1039080</v>
      </c>
      <c r="H57" s="147">
        <f>I57+J57</f>
        <v>4366918</v>
      </c>
      <c r="I57" s="148">
        <f>SUM(I58:I71)</f>
        <v>3095238</v>
      </c>
      <c r="J57" s="149">
        <f>SUM(J67:J71)</f>
        <v>1271680</v>
      </c>
      <c r="K57" s="78"/>
    </row>
    <row r="58" spans="1:11" x14ac:dyDescent="0.25">
      <c r="A58" s="125" t="s">
        <v>194</v>
      </c>
      <c r="B58" s="151"/>
      <c r="C58" s="152">
        <v>21000</v>
      </c>
      <c r="D58" s="157"/>
      <c r="E58" s="151"/>
      <c r="F58" s="152">
        <v>45000</v>
      </c>
      <c r="G58" s="157"/>
      <c r="H58" s="151"/>
      <c r="I58" s="152">
        <v>84000</v>
      </c>
      <c r="J58" s="153"/>
      <c r="K58" s="78"/>
    </row>
    <row r="59" spans="1:11" x14ac:dyDescent="0.25">
      <c r="A59" s="124" t="s">
        <v>195</v>
      </c>
      <c r="B59" s="151"/>
      <c r="C59" s="152">
        <v>6500</v>
      </c>
      <c r="D59" s="157"/>
      <c r="E59" s="151"/>
      <c r="F59" s="152">
        <v>6500</v>
      </c>
      <c r="G59" s="157"/>
      <c r="H59" s="151"/>
      <c r="I59" s="152">
        <v>6500</v>
      </c>
      <c r="J59" s="153"/>
      <c r="K59" s="78"/>
    </row>
    <row r="60" spans="1:11" x14ac:dyDescent="0.25">
      <c r="A60" s="124" t="s">
        <v>196</v>
      </c>
      <c r="B60" s="151"/>
      <c r="C60" s="152">
        <f>4800*3</f>
        <v>14400</v>
      </c>
      <c r="D60" s="157"/>
      <c r="E60" s="151"/>
      <c r="F60" s="152">
        <f>7200*3</f>
        <v>21600</v>
      </c>
      <c r="G60" s="157"/>
      <c r="H60" s="151"/>
      <c r="I60" s="152">
        <f>16000*3</f>
        <v>48000</v>
      </c>
      <c r="J60" s="153"/>
      <c r="K60" s="78"/>
    </row>
    <row r="61" spans="1:11" x14ac:dyDescent="0.25">
      <c r="A61" s="124" t="s">
        <v>197</v>
      </c>
      <c r="B61" s="151"/>
      <c r="C61" s="152">
        <f>18600*3</f>
        <v>55800</v>
      </c>
      <c r="D61" s="157"/>
      <c r="E61" s="151"/>
      <c r="F61" s="152">
        <f>27900*3</f>
        <v>83700</v>
      </c>
      <c r="G61" s="157"/>
      <c r="H61" s="151"/>
      <c r="I61" s="152">
        <f>37200*3</f>
        <v>111600</v>
      </c>
      <c r="J61" s="153"/>
      <c r="K61" s="78"/>
    </row>
    <row r="62" spans="1:11" x14ac:dyDescent="0.25">
      <c r="A62" s="124" t="s">
        <v>198</v>
      </c>
      <c r="B62" s="151"/>
      <c r="C62" s="152">
        <f>160*6</f>
        <v>960</v>
      </c>
      <c r="D62" s="157"/>
      <c r="E62" s="151"/>
      <c r="F62" s="152">
        <f>320*6</f>
        <v>1920</v>
      </c>
      <c r="G62" s="157"/>
      <c r="H62" s="151"/>
      <c r="I62" s="152">
        <f>480*6</f>
        <v>2880</v>
      </c>
      <c r="J62" s="153"/>
      <c r="K62" s="78"/>
    </row>
    <row r="63" spans="1:11" x14ac:dyDescent="0.25">
      <c r="A63" s="124" t="s">
        <v>199</v>
      </c>
      <c r="B63" s="151"/>
      <c r="C63" s="152">
        <f>10000*6</f>
        <v>60000</v>
      </c>
      <c r="D63" s="157"/>
      <c r="E63" s="151"/>
      <c r="F63" s="152">
        <f>20000*6</f>
        <v>120000</v>
      </c>
      <c r="G63" s="157"/>
      <c r="H63" s="151"/>
      <c r="I63" s="152">
        <f>30000*6</f>
        <v>180000</v>
      </c>
      <c r="J63" s="153"/>
      <c r="K63" s="78"/>
    </row>
    <row r="64" spans="1:11" x14ac:dyDescent="0.25">
      <c r="A64" s="124" t="s">
        <v>200</v>
      </c>
      <c r="B64" s="151"/>
      <c r="C64" s="152">
        <f>800*4</f>
        <v>3200</v>
      </c>
      <c r="D64" s="157"/>
      <c r="E64" s="151"/>
      <c r="F64" s="152">
        <f>1200*4</f>
        <v>4800</v>
      </c>
      <c r="G64" s="157"/>
      <c r="H64" s="151"/>
      <c r="I64" s="152">
        <f>1200*4</f>
        <v>4800</v>
      </c>
      <c r="J64" s="153"/>
      <c r="K64" s="78"/>
    </row>
    <row r="65" spans="1:11" x14ac:dyDescent="0.25">
      <c r="A65" s="124" t="s">
        <v>201</v>
      </c>
      <c r="B65" s="151"/>
      <c r="C65" s="152">
        <f>6200*4</f>
        <v>24800</v>
      </c>
      <c r="D65" s="157"/>
      <c r="E65" s="151"/>
      <c r="F65" s="152">
        <f>9300*4</f>
        <v>37200</v>
      </c>
      <c r="G65" s="157"/>
      <c r="H65" s="151"/>
      <c r="I65" s="152">
        <f>9300*4</f>
        <v>37200</v>
      </c>
      <c r="J65" s="153"/>
      <c r="K65" s="78"/>
    </row>
    <row r="66" spans="1:11" x14ac:dyDescent="0.25">
      <c r="A66" s="124" t="s">
        <v>187</v>
      </c>
      <c r="B66" s="151"/>
      <c r="C66" s="152">
        <f>600000*2+220258</f>
        <v>1420258</v>
      </c>
      <c r="D66" s="157"/>
      <c r="E66" s="151"/>
      <c r="F66" s="152">
        <f>600000*3+220258</f>
        <v>2020258</v>
      </c>
      <c r="G66" s="157"/>
      <c r="H66" s="151"/>
      <c r="I66" s="152">
        <f>600000*4+220258</f>
        <v>2620258</v>
      </c>
      <c r="J66" s="153"/>
      <c r="K66" s="78"/>
    </row>
    <row r="67" spans="1:11" x14ac:dyDescent="0.25">
      <c r="A67" s="124" t="s">
        <v>188</v>
      </c>
      <c r="B67" s="151"/>
      <c r="C67" s="157"/>
      <c r="D67" s="154">
        <v>113600</v>
      </c>
      <c r="E67" s="151"/>
      <c r="F67" s="157"/>
      <c r="G67" s="152">
        <v>113600</v>
      </c>
      <c r="H67" s="151"/>
      <c r="I67" s="157"/>
      <c r="J67" s="154">
        <v>113600</v>
      </c>
      <c r="K67" s="78"/>
    </row>
    <row r="68" spans="1:11" x14ac:dyDescent="0.25">
      <c r="A68" s="124" t="s">
        <v>189</v>
      </c>
      <c r="B68" s="151"/>
      <c r="C68" s="157"/>
      <c r="D68" s="154">
        <v>3000</v>
      </c>
      <c r="E68" s="151"/>
      <c r="F68" s="157"/>
      <c r="G68" s="152">
        <v>6000</v>
      </c>
      <c r="H68" s="151"/>
      <c r="I68" s="157"/>
      <c r="J68" s="154">
        <v>10000</v>
      </c>
      <c r="K68" s="78"/>
    </row>
    <row r="69" spans="1:11" x14ac:dyDescent="0.25">
      <c r="A69" s="124" t="s">
        <v>202</v>
      </c>
      <c r="B69" s="168"/>
      <c r="C69" s="169"/>
      <c r="D69" s="152">
        <f>457200</f>
        <v>457200</v>
      </c>
      <c r="E69" s="170"/>
      <c r="F69" s="171"/>
      <c r="G69" s="152">
        <f>685800</f>
        <v>685800</v>
      </c>
      <c r="H69" s="170"/>
      <c r="I69" s="171"/>
      <c r="J69" s="154">
        <f>914400</f>
        <v>914400</v>
      </c>
      <c r="K69" s="78"/>
    </row>
    <row r="70" spans="1:11" x14ac:dyDescent="0.25">
      <c r="A70" s="124" t="s">
        <v>203</v>
      </c>
      <c r="B70" s="168"/>
      <c r="C70" s="169"/>
      <c r="D70" s="152">
        <f>20320*5</f>
        <v>101600</v>
      </c>
      <c r="E70" s="170"/>
      <c r="F70" s="171"/>
      <c r="G70" s="152">
        <f>30480*5</f>
        <v>152400</v>
      </c>
      <c r="H70" s="170"/>
      <c r="I70" s="171"/>
      <c r="J70" s="154">
        <f>30480*5</f>
        <v>152400</v>
      </c>
      <c r="K70" s="78"/>
    </row>
    <row r="71" spans="1:11" ht="15.75" thickBot="1" x14ac:dyDescent="0.3">
      <c r="A71" s="124" t="s">
        <v>204</v>
      </c>
      <c r="B71" s="173"/>
      <c r="C71" s="174"/>
      <c r="D71" s="161">
        <f>20320*4</f>
        <v>81280</v>
      </c>
      <c r="E71" s="175"/>
      <c r="F71" s="176"/>
      <c r="G71" s="161">
        <f>20320*4</f>
        <v>81280</v>
      </c>
      <c r="H71" s="175"/>
      <c r="I71" s="176"/>
      <c r="J71" s="160">
        <f>20320*4</f>
        <v>81280</v>
      </c>
      <c r="K71" s="78"/>
    </row>
    <row r="72" spans="1:11" ht="15.75" thickBot="1" x14ac:dyDescent="0.3">
      <c r="A72" s="116" t="s">
        <v>153</v>
      </c>
      <c r="B72" s="163">
        <f>SUM(D72+C72)</f>
        <v>3690377</v>
      </c>
      <c r="C72" s="164">
        <f>C42+C57</f>
        <v>2431817</v>
      </c>
      <c r="D72" s="165">
        <f>D57+D42</f>
        <v>1258560</v>
      </c>
      <c r="E72" s="163">
        <f>SUM(G72+F72)</f>
        <v>4980337</v>
      </c>
      <c r="F72" s="164">
        <f>F42+F57</f>
        <v>3223017</v>
      </c>
      <c r="G72" s="165">
        <f>G57+G42</f>
        <v>1757320</v>
      </c>
      <c r="H72" s="163">
        <f>SUM(J72+I72)</f>
        <v>7115576</v>
      </c>
      <c r="I72" s="164">
        <f>I42+I57</f>
        <v>4146296</v>
      </c>
      <c r="J72" s="165">
        <f>J57+J42</f>
        <v>2969280</v>
      </c>
      <c r="K72" s="78"/>
    </row>
    <row r="73" spans="1:11" ht="30" x14ac:dyDescent="0.25">
      <c r="A73" s="126" t="s">
        <v>158</v>
      </c>
      <c r="B73" s="78"/>
      <c r="C73" s="78"/>
      <c r="D73" s="166">
        <f>50000*10</f>
        <v>500000</v>
      </c>
      <c r="E73" s="78"/>
      <c r="F73" s="115"/>
      <c r="G73" s="178">
        <f>50000*10</f>
        <v>500000</v>
      </c>
      <c r="H73" s="179"/>
      <c r="I73" s="180"/>
      <c r="J73" s="178">
        <f>50000*10</f>
        <v>500000</v>
      </c>
      <c r="K73" s="78"/>
    </row>
    <row r="74" spans="1:11" s="135" customFormat="1" ht="15.75" x14ac:dyDescent="0.25">
      <c r="A74" s="128" t="s">
        <v>205</v>
      </c>
      <c r="B74" s="177">
        <f>D74+C74</f>
        <v>4190377</v>
      </c>
      <c r="C74" s="177">
        <v>2431817</v>
      </c>
      <c r="D74" s="177">
        <f>D73+D72</f>
        <v>1758560</v>
      </c>
      <c r="E74" s="177">
        <f>G74+F74</f>
        <v>5480337</v>
      </c>
      <c r="F74" s="177">
        <v>3223017</v>
      </c>
      <c r="G74" s="177">
        <f>G73+G72</f>
        <v>2257320</v>
      </c>
      <c r="H74" s="177">
        <f>J74+I74</f>
        <v>7615576</v>
      </c>
      <c r="I74" s="177">
        <v>4146296</v>
      </c>
      <c r="J74" s="177">
        <f>J73+J72</f>
        <v>3469280</v>
      </c>
    </row>
    <row r="77" spans="1:11" x14ac:dyDescent="0.25">
      <c r="A77" s="134" t="s">
        <v>168</v>
      </c>
    </row>
    <row r="80" spans="1:11" x14ac:dyDescent="0.25">
      <c r="A80" s="5" t="s">
        <v>172</v>
      </c>
    </row>
    <row r="81" spans="1:1" x14ac:dyDescent="0.25">
      <c r="A81" t="s">
        <v>173</v>
      </c>
    </row>
  </sheetData>
  <mergeCells count="8">
    <mergeCell ref="B40:D40"/>
    <mergeCell ref="E40:G40"/>
    <mergeCell ref="H40:J40"/>
    <mergeCell ref="B1:J1"/>
    <mergeCell ref="B2:D2"/>
    <mergeCell ref="E2:G2"/>
    <mergeCell ref="H2:J2"/>
    <mergeCell ref="B39:J3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D35D8-B4E3-4A61-AEAF-CEF023253013}">
  <dimension ref="A1:I32"/>
  <sheetViews>
    <sheetView zoomScale="85" zoomScaleNormal="85" workbookViewId="0"/>
  </sheetViews>
  <sheetFormatPr defaultRowHeight="21.75" customHeight="1" x14ac:dyDescent="0.25"/>
  <cols>
    <col min="1" max="1" width="2" bestFit="1" customWidth="1"/>
    <col min="2" max="2" width="32" customWidth="1"/>
    <col min="3" max="3" width="36.28515625" customWidth="1"/>
    <col min="4" max="4" width="36" customWidth="1"/>
    <col min="5" max="5" width="33.42578125" customWidth="1"/>
    <col min="6" max="6" width="43.85546875" customWidth="1"/>
    <col min="7" max="7" width="42" customWidth="1"/>
    <col min="8" max="8" width="48.5703125" customWidth="1"/>
    <col min="9" max="9" width="135.42578125" bestFit="1" customWidth="1"/>
  </cols>
  <sheetData>
    <row r="1" spans="1:8" s="5" customFormat="1" ht="15.75" thickBot="1" x14ac:dyDescent="0.3">
      <c r="A1" s="4"/>
      <c r="B1" s="4"/>
      <c r="C1" s="202" t="s">
        <v>169</v>
      </c>
      <c r="D1" s="203"/>
      <c r="E1" s="203"/>
      <c r="F1" s="204" t="s">
        <v>24</v>
      </c>
      <c r="G1" s="205"/>
      <c r="H1" s="206"/>
    </row>
    <row r="2" spans="1:8" s="5" customFormat="1" ht="30.75" thickBot="1" x14ac:dyDescent="0.3">
      <c r="A2" s="4"/>
      <c r="B2" s="81" t="s">
        <v>159</v>
      </c>
      <c r="C2" s="1" t="s">
        <v>164</v>
      </c>
      <c r="D2" s="3" t="s">
        <v>165</v>
      </c>
      <c r="E2" s="18" t="s">
        <v>166</v>
      </c>
      <c r="F2" s="2" t="s">
        <v>164</v>
      </c>
      <c r="G2" s="3" t="s">
        <v>165</v>
      </c>
      <c r="H2" s="26" t="s">
        <v>166</v>
      </c>
    </row>
    <row r="3" spans="1:8" s="5" customFormat="1" ht="15" x14ac:dyDescent="0.25">
      <c r="A3" s="10">
        <v>1</v>
      </c>
      <c r="B3" s="6" t="s">
        <v>3</v>
      </c>
      <c r="C3" s="8" t="s">
        <v>8</v>
      </c>
      <c r="D3" s="16" t="s">
        <v>9</v>
      </c>
      <c r="E3" s="19" t="s">
        <v>10</v>
      </c>
      <c r="F3" s="8"/>
      <c r="G3" s="16"/>
      <c r="H3" s="60"/>
    </row>
    <row r="4" spans="1:8" s="5" customFormat="1" ht="15" x14ac:dyDescent="0.25">
      <c r="A4" s="11">
        <v>2</v>
      </c>
      <c r="B4" s="7" t="s">
        <v>4</v>
      </c>
      <c r="C4" s="12" t="s">
        <v>26</v>
      </c>
      <c r="D4" s="13" t="s">
        <v>27</v>
      </c>
      <c r="E4" s="20" t="s">
        <v>28</v>
      </c>
      <c r="F4" s="12"/>
      <c r="G4" s="13"/>
      <c r="H4" s="20"/>
    </row>
    <row r="5" spans="1:8" s="5" customFormat="1" ht="15.75" thickBot="1" x14ac:dyDescent="0.3">
      <c r="A5" s="27">
        <v>3</v>
      </c>
      <c r="B5" s="28" t="s">
        <v>5</v>
      </c>
      <c r="C5" s="29" t="s">
        <v>11</v>
      </c>
      <c r="D5" s="30" t="s">
        <v>11</v>
      </c>
      <c r="E5" s="31" t="s">
        <v>11</v>
      </c>
      <c r="F5" s="29"/>
      <c r="G5" s="30"/>
      <c r="H5" s="31"/>
    </row>
    <row r="6" spans="1:8" s="5" customFormat="1" ht="15" x14ac:dyDescent="0.25">
      <c r="A6" s="32">
        <v>4</v>
      </c>
      <c r="B6" s="33" t="s">
        <v>25</v>
      </c>
      <c r="C6" s="34"/>
      <c r="D6" s="35"/>
      <c r="E6" s="36"/>
      <c r="F6" s="53"/>
      <c r="G6" s="55"/>
      <c r="H6" s="61"/>
    </row>
    <row r="7" spans="1:8" s="5" customFormat="1" ht="45" x14ac:dyDescent="0.25">
      <c r="A7" s="11"/>
      <c r="B7" s="71" t="s">
        <v>49</v>
      </c>
      <c r="C7" s="12" t="s">
        <v>30</v>
      </c>
      <c r="D7" s="13">
        <v>2</v>
      </c>
      <c r="E7" s="20">
        <v>2</v>
      </c>
      <c r="F7" s="22" t="s">
        <v>126</v>
      </c>
      <c r="G7" s="23" t="s">
        <v>124</v>
      </c>
      <c r="H7" s="62" t="s">
        <v>125</v>
      </c>
    </row>
    <row r="8" spans="1:8" s="5" customFormat="1" ht="30" x14ac:dyDescent="0.25">
      <c r="A8" s="11"/>
      <c r="B8" s="9" t="s">
        <v>50</v>
      </c>
      <c r="C8" s="12">
        <v>2</v>
      </c>
      <c r="D8" s="13">
        <v>2</v>
      </c>
      <c r="E8" s="20">
        <v>2</v>
      </c>
      <c r="F8" s="22" t="s">
        <v>34</v>
      </c>
      <c r="G8" s="23" t="s">
        <v>33</v>
      </c>
      <c r="H8" s="62" t="s">
        <v>32</v>
      </c>
    </row>
    <row r="9" spans="1:8" s="5" customFormat="1" ht="15" x14ac:dyDescent="0.25">
      <c r="A9" s="11"/>
      <c r="B9" s="72" t="s">
        <v>51</v>
      </c>
      <c r="C9" s="12">
        <v>1</v>
      </c>
      <c r="D9" s="13">
        <v>1</v>
      </c>
      <c r="E9" s="20">
        <v>1</v>
      </c>
      <c r="F9" s="22"/>
      <c r="G9" s="23"/>
      <c r="H9" s="62"/>
    </row>
    <row r="10" spans="1:8" s="5" customFormat="1" ht="30.75" thickBot="1" x14ac:dyDescent="0.3">
      <c r="A10" s="27"/>
      <c r="B10" s="37" t="s">
        <v>20</v>
      </c>
      <c r="C10" s="17" t="s">
        <v>21</v>
      </c>
      <c r="D10" s="16" t="s">
        <v>21</v>
      </c>
      <c r="E10" s="19" t="s">
        <v>21</v>
      </c>
      <c r="F10" s="54" t="s">
        <v>76</v>
      </c>
      <c r="G10" s="56" t="s">
        <v>77</v>
      </c>
      <c r="H10" s="63" t="s">
        <v>78</v>
      </c>
    </row>
    <row r="11" spans="1:8" s="5" customFormat="1" ht="30.75" thickBot="1" x14ac:dyDescent="0.3">
      <c r="A11" s="43">
        <v>5</v>
      </c>
      <c r="B11" s="44" t="s">
        <v>6</v>
      </c>
      <c r="C11" s="45" t="s">
        <v>12</v>
      </c>
      <c r="D11" s="46" t="s">
        <v>12</v>
      </c>
      <c r="E11" s="47" t="s">
        <v>12</v>
      </c>
      <c r="F11" s="22" t="s">
        <v>35</v>
      </c>
      <c r="G11" s="23" t="s">
        <v>36</v>
      </c>
      <c r="H11" s="62" t="s">
        <v>37</v>
      </c>
    </row>
    <row r="12" spans="1:8" s="5" customFormat="1" ht="45" x14ac:dyDescent="0.25">
      <c r="A12" s="38">
        <v>6</v>
      </c>
      <c r="B12" s="48" t="s">
        <v>7</v>
      </c>
      <c r="C12" s="40" t="s">
        <v>13</v>
      </c>
      <c r="D12" s="41" t="s">
        <v>13</v>
      </c>
      <c r="E12" s="42" t="s">
        <v>13</v>
      </c>
      <c r="F12" s="207" t="s">
        <v>222</v>
      </c>
      <c r="G12" s="210" t="s">
        <v>224</v>
      </c>
      <c r="H12" s="213" t="s">
        <v>226</v>
      </c>
    </row>
    <row r="13" spans="1:8" s="5" customFormat="1" ht="15" x14ac:dyDescent="0.25">
      <c r="A13" s="11"/>
      <c r="B13" s="7" t="s">
        <v>0</v>
      </c>
      <c r="C13" s="12" t="s">
        <v>14</v>
      </c>
      <c r="D13" s="13" t="s">
        <v>15</v>
      </c>
      <c r="E13" s="20" t="s">
        <v>16</v>
      </c>
      <c r="F13" s="208"/>
      <c r="G13" s="211"/>
      <c r="H13" s="214"/>
    </row>
    <row r="14" spans="1:8" s="5" customFormat="1" ht="30" x14ac:dyDescent="0.25">
      <c r="A14" s="11"/>
      <c r="B14" s="7" t="s">
        <v>1</v>
      </c>
      <c r="C14" s="14" t="s">
        <v>17</v>
      </c>
      <c r="D14" s="15" t="s">
        <v>18</v>
      </c>
      <c r="E14" s="21" t="s">
        <v>18</v>
      </c>
      <c r="F14" s="208" t="s">
        <v>223</v>
      </c>
      <c r="G14" s="211" t="s">
        <v>225</v>
      </c>
      <c r="H14" s="214" t="s">
        <v>227</v>
      </c>
    </row>
    <row r="15" spans="1:8" s="5" customFormat="1" ht="29.25" customHeight="1" thickBot="1" x14ac:dyDescent="0.3">
      <c r="A15" s="27"/>
      <c r="B15" s="28" t="s">
        <v>2</v>
      </c>
      <c r="C15" s="29" t="s">
        <v>19</v>
      </c>
      <c r="D15" s="30" t="s">
        <v>19</v>
      </c>
      <c r="E15" s="31" t="s">
        <v>19</v>
      </c>
      <c r="F15" s="209"/>
      <c r="G15" s="212"/>
      <c r="H15" s="215"/>
    </row>
    <row r="16" spans="1:8" s="5" customFormat="1" ht="15" x14ac:dyDescent="0.25">
      <c r="A16" s="38">
        <v>7</v>
      </c>
      <c r="B16" s="39" t="s">
        <v>39</v>
      </c>
      <c r="C16" s="49" t="s">
        <v>228</v>
      </c>
      <c r="D16" s="50" t="s">
        <v>228</v>
      </c>
      <c r="E16" s="51" t="s">
        <v>228</v>
      </c>
      <c r="F16" s="49" t="s">
        <v>38</v>
      </c>
      <c r="G16" s="50" t="s">
        <v>38</v>
      </c>
      <c r="H16" s="51" t="s">
        <v>38</v>
      </c>
    </row>
    <row r="17" spans="1:9" s="5" customFormat="1" ht="30" x14ac:dyDescent="0.25">
      <c r="A17" s="11"/>
      <c r="B17" s="7"/>
      <c r="C17" s="14" t="s">
        <v>23</v>
      </c>
      <c r="D17" s="15" t="s">
        <v>23</v>
      </c>
      <c r="E17" s="21" t="s">
        <v>23</v>
      </c>
      <c r="F17" s="73" t="s">
        <v>71</v>
      </c>
      <c r="G17" s="74" t="s">
        <v>72</v>
      </c>
      <c r="H17" s="75" t="s">
        <v>73</v>
      </c>
    </row>
    <row r="18" spans="1:9" ht="60.75" thickBot="1" x14ac:dyDescent="0.3">
      <c r="A18" s="64"/>
      <c r="B18" s="65"/>
      <c r="C18" s="66" t="s">
        <v>22</v>
      </c>
      <c r="D18" s="67" t="s">
        <v>22</v>
      </c>
      <c r="E18" s="68" t="s">
        <v>22</v>
      </c>
      <c r="F18" s="95" t="s">
        <v>140</v>
      </c>
      <c r="G18" s="96" t="s">
        <v>140</v>
      </c>
      <c r="H18" s="97" t="s">
        <v>140</v>
      </c>
    </row>
    <row r="19" spans="1:9" ht="15.75" customHeight="1" x14ac:dyDescent="0.25">
      <c r="B19" s="58"/>
      <c r="C19" s="25"/>
      <c r="D19" s="25"/>
      <c r="E19" s="25"/>
      <c r="F19" s="79"/>
      <c r="G19" s="79"/>
      <c r="H19" s="79"/>
      <c r="I19" s="220"/>
    </row>
    <row r="20" spans="1:9" ht="15" x14ac:dyDescent="0.25">
      <c r="A20" s="70">
        <v>1</v>
      </c>
      <c r="B20" s="57" t="s">
        <v>157</v>
      </c>
      <c r="F20" s="79"/>
      <c r="G20" s="79"/>
      <c r="H20" s="79"/>
      <c r="I20" s="220"/>
    </row>
    <row r="21" spans="1:9" ht="15" x14ac:dyDescent="0.25">
      <c r="A21" s="70">
        <v>2</v>
      </c>
      <c r="B21" s="57" t="s">
        <v>29</v>
      </c>
      <c r="F21" s="79"/>
      <c r="G21" s="79"/>
      <c r="H21" s="79"/>
      <c r="I21" s="220"/>
    </row>
    <row r="22" spans="1:9" ht="15" x14ac:dyDescent="0.25">
      <c r="A22" s="70">
        <v>3</v>
      </c>
      <c r="B22" s="59" t="s">
        <v>68</v>
      </c>
      <c r="C22" s="58"/>
      <c r="D22" s="58"/>
      <c r="E22" s="58"/>
      <c r="F22" s="79"/>
      <c r="G22" s="85"/>
      <c r="H22" s="79"/>
      <c r="I22" s="220"/>
    </row>
    <row r="23" spans="1:9" ht="15" x14ac:dyDescent="0.25">
      <c r="A23" s="70">
        <v>4</v>
      </c>
      <c r="B23" s="57" t="s">
        <v>31</v>
      </c>
      <c r="C23" s="23"/>
      <c r="D23" s="24"/>
      <c r="E23" s="24"/>
      <c r="F23" s="221"/>
      <c r="G23" s="221"/>
      <c r="H23" s="221"/>
      <c r="I23" s="78"/>
    </row>
    <row r="24" spans="1:9" ht="15" x14ac:dyDescent="0.25">
      <c r="A24" s="70">
        <v>5</v>
      </c>
      <c r="B24" t="s">
        <v>69</v>
      </c>
      <c r="C24" s="23"/>
      <c r="D24" s="24"/>
      <c r="E24" s="77"/>
      <c r="F24" s="79"/>
      <c r="G24" s="79"/>
      <c r="H24" s="79"/>
      <c r="I24" s="78"/>
    </row>
    <row r="25" spans="1:9" ht="15" x14ac:dyDescent="0.25">
      <c r="A25" s="70">
        <v>6</v>
      </c>
      <c r="B25" s="57" t="s">
        <v>74</v>
      </c>
      <c r="C25" s="77">
        <f>(54300*0.1+54300*0.1*0.48+(54300*0.1+54300*0.1*0.48)*0.52264)*12</f>
        <v>146838.529152</v>
      </c>
      <c r="D25" s="201" t="s">
        <v>83</v>
      </c>
      <c r="E25" s="24"/>
      <c r="F25" s="222"/>
      <c r="G25" s="223"/>
      <c r="H25" s="224"/>
      <c r="I25" s="225"/>
    </row>
    <row r="26" spans="1:9" ht="15" x14ac:dyDescent="0.25">
      <c r="A26" s="70">
        <v>7</v>
      </c>
      <c r="B26" s="57" t="s">
        <v>75</v>
      </c>
      <c r="C26" s="77">
        <f>(54300*0.15+54300*0.15*0.48+(54300*0.15+54300*0.15*0.48)*0.52264)*12</f>
        <v>220257.79372800002</v>
      </c>
      <c r="D26" s="201"/>
      <c r="E26" s="24"/>
      <c r="F26" s="223"/>
      <c r="G26" s="223"/>
      <c r="H26" s="224"/>
      <c r="I26" s="225"/>
    </row>
    <row r="27" spans="1:9" ht="21.75" customHeight="1" x14ac:dyDescent="0.25">
      <c r="A27" s="70">
        <v>8</v>
      </c>
      <c r="B27" s="57" t="s">
        <v>137</v>
      </c>
      <c r="C27" s="23"/>
      <c r="D27" s="24"/>
      <c r="E27" s="24"/>
      <c r="F27" s="78"/>
      <c r="G27" s="78"/>
      <c r="H27" s="78"/>
      <c r="I27" s="78"/>
    </row>
    <row r="28" spans="1:9" ht="21.75" customHeight="1" x14ac:dyDescent="0.25">
      <c r="E28" s="78"/>
      <c r="F28" s="79"/>
      <c r="G28" s="79"/>
      <c r="H28" s="79"/>
      <c r="I28" s="78"/>
    </row>
    <row r="29" spans="1:9" ht="21.75" customHeight="1" x14ac:dyDescent="0.25">
      <c r="E29" s="78"/>
      <c r="F29" s="79"/>
      <c r="G29" s="85"/>
      <c r="H29" s="79"/>
    </row>
    <row r="30" spans="1:9" ht="21.75" customHeight="1" x14ac:dyDescent="0.25">
      <c r="E30" s="78"/>
      <c r="F30" s="78"/>
      <c r="G30" s="78"/>
      <c r="H30" s="78"/>
    </row>
    <row r="31" spans="1:9" ht="21.75" customHeight="1" x14ac:dyDescent="0.25">
      <c r="E31" s="78"/>
      <c r="F31" s="78"/>
      <c r="G31" s="78"/>
      <c r="H31" s="78"/>
    </row>
    <row r="32" spans="1:9" ht="21.75" customHeight="1" x14ac:dyDescent="0.25">
      <c r="E32" s="78"/>
      <c r="F32" s="78"/>
      <c r="G32" s="78"/>
      <c r="H32" s="78"/>
    </row>
  </sheetData>
  <mergeCells count="9">
    <mergeCell ref="D25:D26"/>
    <mergeCell ref="C1:E1"/>
    <mergeCell ref="F1:H1"/>
    <mergeCell ref="F12:F13"/>
    <mergeCell ref="F14:F15"/>
    <mergeCell ref="G12:G13"/>
    <mergeCell ref="G14:G15"/>
    <mergeCell ref="H12:H13"/>
    <mergeCell ref="H14:H15"/>
  </mergeCells>
  <pageMargins left="0.11458333333333333" right="0.19791666666666666" top="0.19791666666666666" bottom="0.10416666666666667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35137-4CEC-4845-8C8C-6FC6B87AB862}">
  <dimension ref="A1:L30"/>
  <sheetViews>
    <sheetView topLeftCell="A2" zoomScale="85" zoomScaleNormal="85" workbookViewId="0">
      <selection activeCell="A2" sqref="A2"/>
    </sheetView>
  </sheetViews>
  <sheetFormatPr defaultRowHeight="15" x14ac:dyDescent="0.25"/>
  <cols>
    <col min="1" max="1" width="2" bestFit="1" customWidth="1"/>
    <col min="2" max="2" width="34.28515625" customWidth="1"/>
    <col min="3" max="3" width="35" customWidth="1"/>
    <col min="4" max="4" width="29.5703125" customWidth="1"/>
    <col min="5" max="5" width="34.5703125" customWidth="1"/>
    <col min="6" max="6" width="44.85546875" customWidth="1"/>
    <col min="7" max="7" width="37.7109375" customWidth="1"/>
    <col min="8" max="8" width="37.42578125" customWidth="1"/>
    <col min="9" max="9" width="135.42578125" bestFit="1" customWidth="1"/>
  </cols>
  <sheetData>
    <row r="1" spans="1:9" ht="15.75" thickBot="1" x14ac:dyDescent="0.3">
      <c r="A1" s="4"/>
      <c r="B1" s="4"/>
      <c r="C1" s="202" t="s">
        <v>169</v>
      </c>
      <c r="D1" s="203"/>
      <c r="E1" s="203"/>
      <c r="F1" s="204" t="s">
        <v>24</v>
      </c>
      <c r="G1" s="205"/>
      <c r="H1" s="206"/>
    </row>
    <row r="2" spans="1:9" ht="30.75" thickBot="1" x14ac:dyDescent="0.3">
      <c r="A2" s="4"/>
      <c r="B2" s="118" t="s">
        <v>160</v>
      </c>
      <c r="C2" s="2" t="s">
        <v>164</v>
      </c>
      <c r="D2" s="3" t="s">
        <v>165</v>
      </c>
      <c r="E2" s="26" t="s">
        <v>166</v>
      </c>
      <c r="F2" s="2" t="s">
        <v>164</v>
      </c>
      <c r="G2" s="3" t="s">
        <v>165</v>
      </c>
      <c r="H2" s="26" t="s">
        <v>166</v>
      </c>
    </row>
    <row r="3" spans="1:9" x14ac:dyDescent="0.25">
      <c r="A3" s="10">
        <v>1</v>
      </c>
      <c r="B3" s="6" t="s">
        <v>3</v>
      </c>
      <c r="C3" s="8" t="s">
        <v>40</v>
      </c>
      <c r="D3" s="52" t="s">
        <v>41</v>
      </c>
      <c r="E3" s="19" t="s">
        <v>42</v>
      </c>
      <c r="F3" s="8"/>
      <c r="G3" s="52"/>
      <c r="H3" s="60"/>
    </row>
    <row r="4" spans="1:9" x14ac:dyDescent="0.25">
      <c r="A4" s="11">
        <v>2</v>
      </c>
      <c r="B4" s="7" t="s">
        <v>4</v>
      </c>
      <c r="C4" s="12" t="s">
        <v>43</v>
      </c>
      <c r="D4" s="13" t="s">
        <v>44</v>
      </c>
      <c r="E4" s="20" t="s">
        <v>45</v>
      </c>
      <c r="F4" s="12"/>
      <c r="G4" s="13"/>
      <c r="H4" s="20"/>
    </row>
    <row r="5" spans="1:9" ht="15.75" thickBot="1" x14ac:dyDescent="0.3">
      <c r="A5" s="27">
        <v>3</v>
      </c>
      <c r="B5" s="28" t="s">
        <v>5</v>
      </c>
      <c r="C5" s="29" t="s">
        <v>11</v>
      </c>
      <c r="D5" s="30" t="s">
        <v>11</v>
      </c>
      <c r="E5" s="31" t="s">
        <v>11</v>
      </c>
      <c r="F5" s="29"/>
      <c r="G5" s="30"/>
      <c r="H5" s="31"/>
    </row>
    <row r="6" spans="1:9" x14ac:dyDescent="0.25">
      <c r="A6" s="32">
        <v>4</v>
      </c>
      <c r="B6" s="33" t="s">
        <v>25</v>
      </c>
      <c r="C6" s="34"/>
      <c r="D6" s="35"/>
      <c r="E6" s="36"/>
      <c r="F6" s="53"/>
      <c r="G6" s="55"/>
      <c r="H6" s="61"/>
    </row>
    <row r="7" spans="1:9" ht="45" x14ac:dyDescent="0.25">
      <c r="A7" s="11"/>
      <c r="B7" s="71" t="s">
        <v>46</v>
      </c>
      <c r="C7" s="12" t="s">
        <v>30</v>
      </c>
      <c r="D7" s="13">
        <v>2</v>
      </c>
      <c r="E7" s="20">
        <v>2</v>
      </c>
      <c r="F7" s="22" t="s">
        <v>127</v>
      </c>
      <c r="G7" s="23" t="s">
        <v>128</v>
      </c>
      <c r="H7" s="62" t="s">
        <v>129</v>
      </c>
    </row>
    <row r="8" spans="1:9" ht="30" x14ac:dyDescent="0.25">
      <c r="A8" s="11"/>
      <c r="B8" s="71" t="s">
        <v>47</v>
      </c>
      <c r="C8" s="12">
        <v>2</v>
      </c>
      <c r="D8" s="13">
        <v>2</v>
      </c>
      <c r="E8" s="20">
        <v>2</v>
      </c>
      <c r="F8" s="22" t="s">
        <v>62</v>
      </c>
      <c r="G8" s="23" t="s">
        <v>63</v>
      </c>
      <c r="H8" s="62" t="s">
        <v>64</v>
      </c>
    </row>
    <row r="9" spans="1:9" x14ac:dyDescent="0.25">
      <c r="A9" s="11"/>
      <c r="B9" s="72" t="s">
        <v>48</v>
      </c>
      <c r="C9" s="12">
        <v>1</v>
      </c>
      <c r="D9" s="13">
        <v>1</v>
      </c>
      <c r="E9" s="20">
        <v>1</v>
      </c>
      <c r="F9" s="22"/>
      <c r="G9" s="23"/>
      <c r="H9" s="62"/>
    </row>
    <row r="10" spans="1:9" ht="30.75" thickBot="1" x14ac:dyDescent="0.3">
      <c r="A10" s="27"/>
      <c r="B10" s="37" t="s">
        <v>20</v>
      </c>
      <c r="C10" s="17" t="s">
        <v>21</v>
      </c>
      <c r="D10" s="52" t="s">
        <v>21</v>
      </c>
      <c r="E10" s="19" t="s">
        <v>21</v>
      </c>
      <c r="F10" s="54" t="s">
        <v>79</v>
      </c>
      <c r="G10" s="56" t="s">
        <v>80</v>
      </c>
      <c r="H10" s="63" t="s">
        <v>81</v>
      </c>
    </row>
    <row r="11" spans="1:9" ht="30.75" thickBot="1" x14ac:dyDescent="0.3">
      <c r="A11" s="43">
        <v>5</v>
      </c>
      <c r="B11" s="44" t="s">
        <v>6</v>
      </c>
      <c r="C11" s="45" t="s">
        <v>53</v>
      </c>
      <c r="D11" s="46" t="s">
        <v>53</v>
      </c>
      <c r="E11" s="47" t="s">
        <v>53</v>
      </c>
      <c r="F11" s="22" t="s">
        <v>65</v>
      </c>
      <c r="G11" s="23" t="s">
        <v>66</v>
      </c>
      <c r="H11" s="62" t="s">
        <v>67</v>
      </c>
    </row>
    <row r="12" spans="1:9" ht="45" x14ac:dyDescent="0.25">
      <c r="A12" s="38">
        <v>6</v>
      </c>
      <c r="B12" s="48" t="s">
        <v>7</v>
      </c>
      <c r="C12" s="49" t="s">
        <v>54</v>
      </c>
      <c r="D12" s="50" t="s">
        <v>54</v>
      </c>
      <c r="E12" s="51" t="s">
        <v>54</v>
      </c>
      <c r="F12" s="207" t="s">
        <v>206</v>
      </c>
      <c r="G12" s="213" t="s">
        <v>207</v>
      </c>
      <c r="H12" s="216" t="s">
        <v>208</v>
      </c>
      <c r="I12" s="5"/>
    </row>
    <row r="13" spans="1:9" x14ac:dyDescent="0.25">
      <c r="A13" s="11"/>
      <c r="B13" s="72" t="s">
        <v>55</v>
      </c>
      <c r="C13" s="12" t="s">
        <v>58</v>
      </c>
      <c r="D13" s="13" t="s">
        <v>59</v>
      </c>
      <c r="E13" s="20" t="s">
        <v>60</v>
      </c>
      <c r="F13" s="208"/>
      <c r="G13" s="214"/>
      <c r="H13" s="217"/>
      <c r="I13" s="5"/>
    </row>
    <row r="14" spans="1:9" ht="30" x14ac:dyDescent="0.25">
      <c r="A14" s="11"/>
      <c r="B14" s="71" t="s">
        <v>56</v>
      </c>
      <c r="C14" s="14">
        <v>6</v>
      </c>
      <c r="D14" s="15">
        <v>9</v>
      </c>
      <c r="E14" s="21">
        <v>12</v>
      </c>
      <c r="F14" s="208" t="s">
        <v>209</v>
      </c>
      <c r="G14" s="214" t="s">
        <v>210</v>
      </c>
      <c r="H14" s="217" t="s">
        <v>211</v>
      </c>
      <c r="I14" s="5"/>
    </row>
    <row r="15" spans="1:9" ht="15.75" thickBot="1" x14ac:dyDescent="0.3">
      <c r="A15" s="27"/>
      <c r="B15" s="28" t="s">
        <v>2</v>
      </c>
      <c r="C15" s="29" t="s">
        <v>57</v>
      </c>
      <c r="D15" s="30" t="s">
        <v>57</v>
      </c>
      <c r="E15" s="31" t="s">
        <v>57</v>
      </c>
      <c r="F15" s="209"/>
      <c r="G15" s="215"/>
      <c r="H15" s="218"/>
      <c r="I15" s="5"/>
    </row>
    <row r="16" spans="1:9" x14ac:dyDescent="0.25">
      <c r="A16" s="38">
        <v>7</v>
      </c>
      <c r="B16" s="39" t="s">
        <v>61</v>
      </c>
      <c r="C16" s="49"/>
      <c r="D16" s="50"/>
      <c r="E16" s="51"/>
      <c r="F16" s="49"/>
      <c r="G16" s="50"/>
      <c r="H16" s="51"/>
    </row>
    <row r="17" spans="1:12" ht="30" x14ac:dyDescent="0.25">
      <c r="A17" s="11"/>
      <c r="B17" s="7"/>
      <c r="C17" s="14" t="s">
        <v>23</v>
      </c>
      <c r="D17" s="15" t="s">
        <v>23</v>
      </c>
      <c r="E17" s="21" t="s">
        <v>23</v>
      </c>
      <c r="F17" s="73" t="s">
        <v>71</v>
      </c>
      <c r="G17" s="74" t="s">
        <v>72</v>
      </c>
      <c r="H17" s="75" t="s">
        <v>73</v>
      </c>
    </row>
    <row r="18" spans="1:12" ht="75.75" thickBot="1" x14ac:dyDescent="0.3">
      <c r="A18" s="64"/>
      <c r="B18" s="65"/>
      <c r="C18" s="66" t="s">
        <v>22</v>
      </c>
      <c r="D18" s="67" t="s">
        <v>22</v>
      </c>
      <c r="E18" s="68" t="s">
        <v>22</v>
      </c>
      <c r="F18" s="95" t="s">
        <v>141</v>
      </c>
      <c r="G18" s="96" t="s">
        <v>141</v>
      </c>
      <c r="H18" s="97" t="s">
        <v>141</v>
      </c>
    </row>
    <row r="19" spans="1:12" x14ac:dyDescent="0.25">
      <c r="B19" s="58"/>
      <c r="C19" s="25"/>
      <c r="D19" s="25"/>
      <c r="E19" s="25"/>
      <c r="F19" s="79"/>
      <c r="G19" s="79"/>
      <c r="H19" s="79"/>
      <c r="I19" s="220"/>
      <c r="J19" s="78"/>
      <c r="K19" s="78"/>
      <c r="L19" s="78"/>
    </row>
    <row r="20" spans="1:12" x14ac:dyDescent="0.25">
      <c r="A20" s="70">
        <v>1</v>
      </c>
      <c r="B20" s="57" t="s">
        <v>157</v>
      </c>
      <c r="F20" s="79"/>
      <c r="G20" s="85"/>
      <c r="H20" s="79"/>
      <c r="I20" s="220"/>
      <c r="J20" s="78"/>
      <c r="K20" s="78"/>
      <c r="L20" s="78"/>
    </row>
    <row r="21" spans="1:12" x14ac:dyDescent="0.25">
      <c r="A21" s="70">
        <v>2</v>
      </c>
      <c r="B21" s="57" t="s">
        <v>29</v>
      </c>
      <c r="F21" s="79"/>
      <c r="G21" s="79"/>
      <c r="H21" s="79"/>
      <c r="I21" s="220"/>
      <c r="J21" s="78"/>
      <c r="K21" s="78"/>
      <c r="L21" s="78"/>
    </row>
    <row r="22" spans="1:12" x14ac:dyDescent="0.25">
      <c r="A22" s="70">
        <v>3</v>
      </c>
      <c r="B22" s="59" t="s">
        <v>68</v>
      </c>
      <c r="C22" s="58"/>
      <c r="D22" s="58"/>
      <c r="E22" s="58"/>
      <c r="F22" s="79"/>
      <c r="G22" s="85"/>
      <c r="H22" s="79"/>
      <c r="I22" s="220"/>
      <c r="J22" s="78"/>
      <c r="K22" s="78"/>
      <c r="L22" s="78"/>
    </row>
    <row r="23" spans="1:12" x14ac:dyDescent="0.25">
      <c r="A23" s="70">
        <v>4</v>
      </c>
      <c r="B23" s="57" t="s">
        <v>52</v>
      </c>
      <c r="C23" s="23"/>
      <c r="D23" s="24"/>
      <c r="E23" s="24"/>
      <c r="F23" s="221"/>
      <c r="G23" s="221"/>
      <c r="H23" s="221"/>
      <c r="I23" s="78"/>
    </row>
    <row r="24" spans="1:12" x14ac:dyDescent="0.25">
      <c r="A24" s="70">
        <v>5</v>
      </c>
      <c r="B24" s="57" t="s">
        <v>82</v>
      </c>
      <c r="F24" s="78"/>
      <c r="G24" s="78"/>
      <c r="H24" s="78"/>
      <c r="I24" s="78"/>
    </row>
    <row r="25" spans="1:12" x14ac:dyDescent="0.25">
      <c r="A25" s="70">
        <v>6</v>
      </c>
      <c r="B25" t="s">
        <v>70</v>
      </c>
      <c r="F25" s="78"/>
      <c r="G25" s="78"/>
      <c r="H25" s="78"/>
      <c r="I25" s="78"/>
    </row>
    <row r="26" spans="1:12" x14ac:dyDescent="0.25">
      <c r="A26" s="70">
        <v>7</v>
      </c>
      <c r="B26" s="57" t="s">
        <v>74</v>
      </c>
      <c r="C26" s="77">
        <f>(54300*0.1+54300*0.1*0.48+(54300*0.1+54300*0.1*0.48)*0.52264)*12</f>
        <v>146838.529152</v>
      </c>
      <c r="D26" s="201" t="s">
        <v>83</v>
      </c>
      <c r="F26" s="222"/>
      <c r="G26" s="223"/>
      <c r="H26" s="224"/>
      <c r="I26" s="225"/>
    </row>
    <row r="27" spans="1:12" x14ac:dyDescent="0.25">
      <c r="A27" s="70">
        <v>8</v>
      </c>
      <c r="B27" s="57" t="s">
        <v>75</v>
      </c>
      <c r="C27" s="77">
        <f>(54300*0.15+54300*0.15*0.48+(54300*0.15+54300*0.15*0.48)*0.52264)*12</f>
        <v>220257.79372800002</v>
      </c>
      <c r="D27" s="201"/>
      <c r="F27" s="223"/>
      <c r="G27" s="223"/>
      <c r="H27" s="224"/>
      <c r="I27" s="225"/>
    </row>
    <row r="28" spans="1:12" x14ac:dyDescent="0.25">
      <c r="A28" s="70">
        <v>9</v>
      </c>
      <c r="B28" s="57" t="s">
        <v>137</v>
      </c>
      <c r="F28" s="78"/>
      <c r="G28" s="78"/>
      <c r="H28" s="78"/>
      <c r="I28" s="78"/>
    </row>
    <row r="29" spans="1:12" x14ac:dyDescent="0.25">
      <c r="F29" s="78"/>
      <c r="G29" s="78"/>
      <c r="H29" s="78"/>
      <c r="I29" s="78"/>
    </row>
    <row r="30" spans="1:12" x14ac:dyDescent="0.25">
      <c r="F30" s="78"/>
      <c r="G30" s="78"/>
      <c r="H30" s="78"/>
      <c r="I30" s="78"/>
    </row>
  </sheetData>
  <mergeCells count="9">
    <mergeCell ref="D26:D27"/>
    <mergeCell ref="C1:E1"/>
    <mergeCell ref="F1:H1"/>
    <mergeCell ref="F12:F13"/>
    <mergeCell ref="F14:F15"/>
    <mergeCell ref="G12:G13"/>
    <mergeCell ref="G14:G15"/>
    <mergeCell ref="H12:H13"/>
    <mergeCell ref="H14:H15"/>
  </mergeCells>
  <pageMargins left="0.25" right="0.25" top="0.125" bottom="0.1354166666666666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A845B-8C8D-45CB-AC78-BEAE5D1E2B92}">
  <dimension ref="A1:L35"/>
  <sheetViews>
    <sheetView zoomScale="85" zoomScaleNormal="85" workbookViewId="0">
      <pane xSplit="2" topLeftCell="C1" activePane="topRight" state="frozen"/>
      <selection pane="topRight"/>
    </sheetView>
  </sheetViews>
  <sheetFormatPr defaultRowHeight="15" x14ac:dyDescent="0.25"/>
  <cols>
    <col min="1" max="1" width="3" bestFit="1" customWidth="1"/>
    <col min="2" max="2" width="34.28515625" customWidth="1"/>
    <col min="3" max="3" width="35" customWidth="1"/>
    <col min="4" max="4" width="29.5703125" customWidth="1"/>
    <col min="5" max="5" width="34.5703125" customWidth="1"/>
    <col min="6" max="6" width="44.85546875" customWidth="1"/>
    <col min="7" max="7" width="37.7109375" customWidth="1"/>
    <col min="8" max="8" width="37.42578125" customWidth="1"/>
    <col min="9" max="9" width="135.42578125" bestFit="1" customWidth="1"/>
  </cols>
  <sheetData>
    <row r="1" spans="1:9" ht="15.75" thickBot="1" x14ac:dyDescent="0.3">
      <c r="A1" s="4"/>
      <c r="B1" s="4"/>
      <c r="C1" s="202" t="s">
        <v>169</v>
      </c>
      <c r="D1" s="203"/>
      <c r="E1" s="203"/>
      <c r="F1" s="204" t="s">
        <v>24</v>
      </c>
      <c r="G1" s="205"/>
      <c r="H1" s="206"/>
    </row>
    <row r="2" spans="1:9" ht="45.75" thickBot="1" x14ac:dyDescent="0.3">
      <c r="A2" s="4"/>
      <c r="B2" s="81" t="s">
        <v>161</v>
      </c>
      <c r="C2" s="2" t="s">
        <v>164</v>
      </c>
      <c r="D2" s="3" t="s">
        <v>165</v>
      </c>
      <c r="E2" s="26" t="s">
        <v>166</v>
      </c>
      <c r="F2" s="2" t="s">
        <v>164</v>
      </c>
      <c r="G2" s="3" t="s">
        <v>165</v>
      </c>
      <c r="H2" s="26" t="s">
        <v>166</v>
      </c>
    </row>
    <row r="3" spans="1:9" x14ac:dyDescent="0.25">
      <c r="A3" s="10">
        <v>1</v>
      </c>
      <c r="B3" s="6" t="s">
        <v>3</v>
      </c>
      <c r="C3" s="8" t="s">
        <v>40</v>
      </c>
      <c r="D3" s="52" t="s">
        <v>41</v>
      </c>
      <c r="E3" s="19" t="s">
        <v>42</v>
      </c>
      <c r="F3" s="8"/>
      <c r="G3" s="52"/>
      <c r="H3" s="60"/>
    </row>
    <row r="4" spans="1:9" x14ac:dyDescent="0.25">
      <c r="A4" s="11">
        <v>2</v>
      </c>
      <c r="B4" s="7" t="s">
        <v>4</v>
      </c>
      <c r="C4" s="12" t="s">
        <v>43</v>
      </c>
      <c r="D4" s="13" t="s">
        <v>44</v>
      </c>
      <c r="E4" s="20" t="s">
        <v>45</v>
      </c>
      <c r="F4" s="12"/>
      <c r="G4" s="13"/>
      <c r="H4" s="20"/>
    </row>
    <row r="5" spans="1:9" ht="15.75" thickBot="1" x14ac:dyDescent="0.3">
      <c r="A5" s="27">
        <v>3</v>
      </c>
      <c r="B5" s="28" t="s">
        <v>5</v>
      </c>
      <c r="C5" s="29" t="s">
        <v>11</v>
      </c>
      <c r="D5" s="30" t="s">
        <v>11</v>
      </c>
      <c r="E5" s="31" t="s">
        <v>11</v>
      </c>
      <c r="F5" s="29"/>
      <c r="G5" s="30"/>
      <c r="H5" s="31"/>
    </row>
    <row r="6" spans="1:9" x14ac:dyDescent="0.25">
      <c r="A6" s="32">
        <v>4</v>
      </c>
      <c r="B6" s="33" t="s">
        <v>25</v>
      </c>
      <c r="C6" s="34"/>
      <c r="D6" s="35"/>
      <c r="E6" s="36"/>
      <c r="F6" s="53"/>
      <c r="G6" s="55"/>
      <c r="H6" s="61"/>
    </row>
    <row r="7" spans="1:9" ht="45" x14ac:dyDescent="0.25">
      <c r="A7" s="11"/>
      <c r="B7" s="71" t="s">
        <v>46</v>
      </c>
      <c r="C7" s="12" t="s">
        <v>30</v>
      </c>
      <c r="D7" s="13" t="s">
        <v>101</v>
      </c>
      <c r="E7" s="20" t="s">
        <v>90</v>
      </c>
      <c r="F7" s="22" t="s">
        <v>130</v>
      </c>
      <c r="G7" s="23" t="s">
        <v>132</v>
      </c>
      <c r="H7" s="62" t="s">
        <v>131</v>
      </c>
    </row>
    <row r="8" spans="1:9" ht="30" x14ac:dyDescent="0.25">
      <c r="A8" s="11"/>
      <c r="B8" s="71" t="s">
        <v>47</v>
      </c>
      <c r="C8" s="12">
        <v>2</v>
      </c>
      <c r="D8" s="13">
        <v>3</v>
      </c>
      <c r="E8" s="20">
        <v>4</v>
      </c>
      <c r="F8" s="22" t="s">
        <v>62</v>
      </c>
      <c r="G8" s="23" t="s">
        <v>63</v>
      </c>
      <c r="H8" s="62" t="s">
        <v>64</v>
      </c>
    </row>
    <row r="9" spans="1:9" x14ac:dyDescent="0.25">
      <c r="A9" s="11"/>
      <c r="B9" s="72" t="s">
        <v>48</v>
      </c>
      <c r="C9" s="12">
        <v>2</v>
      </c>
      <c r="D9" s="13">
        <v>3</v>
      </c>
      <c r="E9" s="20">
        <v>4</v>
      </c>
      <c r="F9" s="22"/>
      <c r="G9" s="23"/>
      <c r="H9" s="62"/>
    </row>
    <row r="10" spans="1:9" ht="30.75" thickBot="1" x14ac:dyDescent="0.3">
      <c r="A10" s="27"/>
      <c r="B10" s="37" t="s">
        <v>20</v>
      </c>
      <c r="C10" s="17" t="s">
        <v>21</v>
      </c>
      <c r="D10" s="52" t="s">
        <v>21</v>
      </c>
      <c r="E10" s="19" t="s">
        <v>21</v>
      </c>
      <c r="F10" s="54" t="s">
        <v>93</v>
      </c>
      <c r="G10" s="56" t="s">
        <v>94</v>
      </c>
      <c r="H10" s="63" t="s">
        <v>95</v>
      </c>
    </row>
    <row r="11" spans="1:9" ht="30.75" thickBot="1" x14ac:dyDescent="0.3">
      <c r="A11" s="43">
        <v>5</v>
      </c>
      <c r="B11" s="44" t="s">
        <v>6</v>
      </c>
      <c r="C11" s="45" t="s">
        <v>53</v>
      </c>
      <c r="D11" s="46" t="s">
        <v>53</v>
      </c>
      <c r="E11" s="47" t="s">
        <v>53</v>
      </c>
      <c r="F11" s="22" t="s">
        <v>65</v>
      </c>
      <c r="G11" s="23" t="s">
        <v>66</v>
      </c>
      <c r="H11" s="62" t="s">
        <v>67</v>
      </c>
    </row>
    <row r="12" spans="1:9" ht="45" x14ac:dyDescent="0.25">
      <c r="A12" s="38">
        <v>6</v>
      </c>
      <c r="B12" s="48" t="s">
        <v>110</v>
      </c>
      <c r="C12" s="49" t="s">
        <v>54</v>
      </c>
      <c r="D12" s="50" t="s">
        <v>54</v>
      </c>
      <c r="E12" s="51" t="s">
        <v>54</v>
      </c>
      <c r="F12" s="207" t="s">
        <v>212</v>
      </c>
      <c r="G12" s="210" t="s">
        <v>214</v>
      </c>
      <c r="H12" s="213" t="s">
        <v>215</v>
      </c>
      <c r="I12" s="5"/>
    </row>
    <row r="13" spans="1:9" x14ac:dyDescent="0.25">
      <c r="A13" s="11"/>
      <c r="B13" s="72" t="s">
        <v>55</v>
      </c>
      <c r="C13" s="12" t="s">
        <v>59</v>
      </c>
      <c r="D13" s="13" t="s">
        <v>85</v>
      </c>
      <c r="E13" s="20" t="s">
        <v>86</v>
      </c>
      <c r="F13" s="208"/>
      <c r="G13" s="211"/>
      <c r="H13" s="214"/>
      <c r="I13" s="5"/>
    </row>
    <row r="14" spans="1:9" ht="30" x14ac:dyDescent="0.25">
      <c r="A14" s="11"/>
      <c r="B14" s="71" t="s">
        <v>56</v>
      </c>
      <c r="C14" s="14">
        <v>6</v>
      </c>
      <c r="D14" s="15">
        <v>9</v>
      </c>
      <c r="E14" s="21">
        <v>12</v>
      </c>
      <c r="F14" s="208" t="s">
        <v>213</v>
      </c>
      <c r="G14" s="211" t="s">
        <v>216</v>
      </c>
      <c r="H14" s="214" t="s">
        <v>217</v>
      </c>
      <c r="I14" s="5"/>
    </row>
    <row r="15" spans="1:9" ht="15.75" thickBot="1" x14ac:dyDescent="0.3">
      <c r="A15" s="27"/>
      <c r="B15" s="28" t="s">
        <v>2</v>
      </c>
      <c r="C15" s="29" t="s">
        <v>84</v>
      </c>
      <c r="D15" s="30" t="s">
        <v>84</v>
      </c>
      <c r="E15" s="31" t="s">
        <v>84</v>
      </c>
      <c r="F15" s="209"/>
      <c r="G15" s="212"/>
      <c r="H15" s="215"/>
      <c r="I15" s="5"/>
    </row>
    <row r="16" spans="1:9" ht="30" x14ac:dyDescent="0.25">
      <c r="A16" s="38">
        <v>7</v>
      </c>
      <c r="B16" s="39" t="s">
        <v>61</v>
      </c>
      <c r="C16" s="49" t="s">
        <v>233</v>
      </c>
      <c r="D16" s="50" t="s">
        <v>233</v>
      </c>
      <c r="E16" s="51" t="s">
        <v>233</v>
      </c>
      <c r="F16" s="49" t="s">
        <v>234</v>
      </c>
      <c r="G16" s="50" t="s">
        <v>235</v>
      </c>
      <c r="H16" s="51" t="s">
        <v>235</v>
      </c>
    </row>
    <row r="17" spans="1:12" ht="30" x14ac:dyDescent="0.25">
      <c r="A17" s="11"/>
      <c r="B17" s="7"/>
      <c r="C17" s="14" t="s">
        <v>23</v>
      </c>
      <c r="D17" s="15" t="s">
        <v>23</v>
      </c>
      <c r="E17" s="21" t="s">
        <v>23</v>
      </c>
      <c r="F17" s="73" t="s">
        <v>71</v>
      </c>
      <c r="G17" s="74" t="s">
        <v>72</v>
      </c>
      <c r="H17" s="75" t="s">
        <v>73</v>
      </c>
    </row>
    <row r="18" spans="1:12" ht="75.75" thickBot="1" x14ac:dyDescent="0.3">
      <c r="A18" s="64"/>
      <c r="B18" s="65"/>
      <c r="C18" s="66" t="s">
        <v>22</v>
      </c>
      <c r="D18" s="67" t="s">
        <v>22</v>
      </c>
      <c r="E18" s="68" t="s">
        <v>22</v>
      </c>
      <c r="F18" s="95" t="s">
        <v>139</v>
      </c>
      <c r="G18" s="96" t="s">
        <v>139</v>
      </c>
      <c r="H18" s="97" t="s">
        <v>139</v>
      </c>
    </row>
    <row r="19" spans="1:12" x14ac:dyDescent="0.25">
      <c r="B19" s="58"/>
      <c r="C19" s="69"/>
      <c r="D19" s="69"/>
      <c r="E19" s="69"/>
      <c r="F19" s="79"/>
      <c r="G19" s="79"/>
      <c r="H19" s="79"/>
      <c r="I19" s="220"/>
      <c r="J19" s="78"/>
      <c r="K19" s="78"/>
      <c r="L19" s="78"/>
    </row>
    <row r="20" spans="1:12" x14ac:dyDescent="0.25">
      <c r="F20" s="79"/>
      <c r="G20" s="85"/>
      <c r="H20" s="79"/>
      <c r="I20" s="220"/>
      <c r="J20" s="78"/>
      <c r="K20" s="78"/>
      <c r="L20" s="78"/>
    </row>
    <row r="21" spans="1:12" x14ac:dyDescent="0.25">
      <c r="A21" s="70">
        <v>1</v>
      </c>
      <c r="B21" s="57" t="s">
        <v>157</v>
      </c>
      <c r="F21" s="79"/>
      <c r="G21" s="79"/>
      <c r="H21" s="79"/>
      <c r="I21" s="226"/>
      <c r="J21" s="78"/>
      <c r="K21" s="78"/>
      <c r="L21" s="78"/>
    </row>
    <row r="22" spans="1:12" x14ac:dyDescent="0.25">
      <c r="A22" s="70">
        <v>2</v>
      </c>
      <c r="B22" s="57" t="s">
        <v>29</v>
      </c>
      <c r="F22" s="79"/>
      <c r="G22" s="79"/>
      <c r="H22" s="79"/>
      <c r="I22" s="220"/>
      <c r="J22" s="78"/>
      <c r="K22" s="78"/>
      <c r="L22" s="78"/>
    </row>
    <row r="23" spans="1:12" x14ac:dyDescent="0.25">
      <c r="A23" s="70">
        <v>3</v>
      </c>
      <c r="B23" s="59" t="s">
        <v>68</v>
      </c>
      <c r="C23" s="58"/>
      <c r="D23" s="58"/>
      <c r="E23" s="58"/>
      <c r="F23" s="79"/>
      <c r="G23" s="85"/>
      <c r="H23" s="79"/>
      <c r="I23" s="220"/>
      <c r="J23" s="78"/>
      <c r="K23" s="78"/>
      <c r="L23" s="78"/>
    </row>
    <row r="24" spans="1:12" x14ac:dyDescent="0.25">
      <c r="A24" s="70">
        <v>4</v>
      </c>
      <c r="B24" s="57" t="s">
        <v>89</v>
      </c>
      <c r="C24" s="23"/>
      <c r="D24" s="24"/>
      <c r="E24" s="24"/>
      <c r="F24" s="76"/>
      <c r="G24" s="76"/>
      <c r="H24" s="76"/>
    </row>
    <row r="25" spans="1:12" x14ac:dyDescent="0.25">
      <c r="A25" s="70">
        <v>5</v>
      </c>
      <c r="B25" s="57" t="s">
        <v>82</v>
      </c>
    </row>
    <row r="26" spans="1:12" x14ac:dyDescent="0.25">
      <c r="A26" s="70">
        <v>6</v>
      </c>
      <c r="B26" t="s">
        <v>106</v>
      </c>
    </row>
    <row r="27" spans="1:12" x14ac:dyDescent="0.25">
      <c r="A27" s="70">
        <v>7</v>
      </c>
      <c r="B27" s="57" t="s">
        <v>74</v>
      </c>
      <c r="C27" s="77">
        <f>(54300*0.1+54300*0.1*0.48+(54300*0.1+54300*0.1*0.48)*0.52264)*12</f>
        <v>146838.529152</v>
      </c>
      <c r="D27" s="219" t="s">
        <v>83</v>
      </c>
      <c r="F27" s="79"/>
      <c r="G27" s="79"/>
      <c r="H27" s="79"/>
    </row>
    <row r="28" spans="1:12" x14ac:dyDescent="0.25">
      <c r="A28" s="70">
        <v>8</v>
      </c>
      <c r="B28" s="57" t="s">
        <v>75</v>
      </c>
      <c r="C28" s="77">
        <f>(54300*0.15+54300*0.15*0.48+(54300*0.15+54300*0.15*0.48)*0.52264)*12</f>
        <v>220257.79372800002</v>
      </c>
      <c r="D28" s="219"/>
      <c r="F28" s="79"/>
      <c r="G28" s="85"/>
      <c r="H28" s="79"/>
    </row>
    <row r="29" spans="1:12" x14ac:dyDescent="0.25">
      <c r="A29" s="70">
        <v>9</v>
      </c>
      <c r="B29" s="57" t="s">
        <v>88</v>
      </c>
    </row>
    <row r="30" spans="1:12" x14ac:dyDescent="0.25">
      <c r="A30" s="70">
        <v>10</v>
      </c>
      <c r="B30" s="57" t="s">
        <v>87</v>
      </c>
    </row>
    <row r="31" spans="1:12" x14ac:dyDescent="0.25">
      <c r="A31" s="70">
        <v>11</v>
      </c>
      <c r="B31" s="57" t="s">
        <v>111</v>
      </c>
    </row>
    <row r="32" spans="1:12" x14ac:dyDescent="0.25">
      <c r="A32" s="70">
        <v>12</v>
      </c>
      <c r="B32" s="57" t="s">
        <v>137</v>
      </c>
    </row>
    <row r="33" spans="5:9" ht="45" x14ac:dyDescent="0.25">
      <c r="F33" s="98" t="s">
        <v>142</v>
      </c>
      <c r="G33" s="98" t="s">
        <v>143</v>
      </c>
      <c r="H33" s="98" t="s">
        <v>144</v>
      </c>
      <c r="I33" s="99" t="s">
        <v>91</v>
      </c>
    </row>
    <row r="34" spans="5:9" ht="45" x14ac:dyDescent="0.25">
      <c r="F34" s="98" t="s">
        <v>150</v>
      </c>
      <c r="G34" s="98" t="s">
        <v>151</v>
      </c>
      <c r="H34" s="98" t="s">
        <v>152</v>
      </c>
      <c r="I34" s="99" t="s">
        <v>92</v>
      </c>
    </row>
    <row r="35" spans="5:9" x14ac:dyDescent="0.25">
      <c r="E35" s="112"/>
      <c r="F35" s="113" t="s">
        <v>154</v>
      </c>
      <c r="G35" s="113" t="s">
        <v>156</v>
      </c>
      <c r="H35" s="113" t="s">
        <v>156</v>
      </c>
      <c r="I35" s="114" t="s">
        <v>155</v>
      </c>
    </row>
  </sheetData>
  <mergeCells count="9">
    <mergeCell ref="D27:D28"/>
    <mergeCell ref="C1:E1"/>
    <mergeCell ref="F1:H1"/>
    <mergeCell ref="F12:F13"/>
    <mergeCell ref="G12:G13"/>
    <mergeCell ref="H12:H13"/>
    <mergeCell ref="F14:F15"/>
    <mergeCell ref="G14:G15"/>
    <mergeCell ref="H14:H1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FE80C-A9EB-4335-86CF-1A8EF3CD5633}">
  <dimension ref="A1:L36"/>
  <sheetViews>
    <sheetView zoomScale="85" zoomScaleNormal="85" workbookViewId="0"/>
  </sheetViews>
  <sheetFormatPr defaultRowHeight="15" x14ac:dyDescent="0.25"/>
  <cols>
    <col min="1" max="1" width="3" bestFit="1" customWidth="1"/>
    <col min="2" max="2" width="34.28515625" customWidth="1"/>
    <col min="3" max="3" width="35" customWidth="1"/>
    <col min="4" max="4" width="29.5703125" customWidth="1"/>
    <col min="5" max="5" width="34.5703125" customWidth="1"/>
    <col min="6" max="6" width="44.85546875" customWidth="1"/>
    <col min="7" max="7" width="37.7109375" customWidth="1"/>
    <col min="8" max="8" width="37.42578125" customWidth="1"/>
    <col min="9" max="9" width="135.42578125" bestFit="1" customWidth="1"/>
  </cols>
  <sheetData>
    <row r="1" spans="1:9" ht="15.75" thickBot="1" x14ac:dyDescent="0.3">
      <c r="A1" s="4"/>
      <c r="B1" s="4"/>
      <c r="C1" s="202" t="s">
        <v>169</v>
      </c>
      <c r="D1" s="203"/>
      <c r="E1" s="203"/>
      <c r="F1" s="204" t="s">
        <v>24</v>
      </c>
      <c r="G1" s="205"/>
      <c r="H1" s="206"/>
    </row>
    <row r="2" spans="1:9" ht="60.75" thickBot="1" x14ac:dyDescent="0.3">
      <c r="A2" s="4"/>
      <c r="B2" s="81" t="s">
        <v>162</v>
      </c>
      <c r="C2" s="2" t="s">
        <v>164</v>
      </c>
      <c r="D2" s="3" t="s">
        <v>165</v>
      </c>
      <c r="E2" s="26" t="s">
        <v>166</v>
      </c>
      <c r="F2" s="2" t="s">
        <v>164</v>
      </c>
      <c r="G2" s="3" t="s">
        <v>165</v>
      </c>
      <c r="H2" s="26" t="s">
        <v>166</v>
      </c>
    </row>
    <row r="3" spans="1:9" x14ac:dyDescent="0.25">
      <c r="A3" s="10">
        <v>1</v>
      </c>
      <c r="B3" s="6" t="s">
        <v>3</v>
      </c>
      <c r="C3" s="8" t="s">
        <v>96</v>
      </c>
      <c r="D3" s="52" t="s">
        <v>96</v>
      </c>
      <c r="E3" s="19" t="s">
        <v>99</v>
      </c>
      <c r="F3" s="8"/>
      <c r="G3" s="52"/>
      <c r="H3" s="60"/>
    </row>
    <row r="4" spans="1:9" x14ac:dyDescent="0.25">
      <c r="A4" s="11">
        <v>2</v>
      </c>
      <c r="B4" s="7" t="s">
        <v>4</v>
      </c>
      <c r="C4" s="12" t="s">
        <v>26</v>
      </c>
      <c r="D4" s="13" t="s">
        <v>97</v>
      </c>
      <c r="E4" s="20" t="s">
        <v>98</v>
      </c>
      <c r="F4" s="12"/>
      <c r="G4" s="13"/>
      <c r="H4" s="20"/>
    </row>
    <row r="5" spans="1:9" ht="15.75" thickBot="1" x14ac:dyDescent="0.3">
      <c r="A5" s="27">
        <v>3</v>
      </c>
      <c r="B5" s="28" t="s">
        <v>5</v>
      </c>
      <c r="C5" s="29" t="s">
        <v>11</v>
      </c>
      <c r="D5" s="30" t="s">
        <v>11</v>
      </c>
      <c r="E5" s="30" t="s">
        <v>11</v>
      </c>
      <c r="F5" s="29"/>
      <c r="G5" s="30"/>
      <c r="H5" s="31"/>
    </row>
    <row r="6" spans="1:9" x14ac:dyDescent="0.25">
      <c r="A6" s="32">
        <v>4</v>
      </c>
      <c r="B6" s="33" t="s">
        <v>25</v>
      </c>
      <c r="C6" s="34"/>
      <c r="D6" s="35"/>
      <c r="E6" s="36"/>
      <c r="F6" s="53"/>
      <c r="G6" s="55"/>
      <c r="H6" s="61"/>
    </row>
    <row r="7" spans="1:9" ht="45" x14ac:dyDescent="0.25">
      <c r="A7" s="11"/>
      <c r="B7" s="71" t="s">
        <v>46</v>
      </c>
      <c r="C7" s="12" t="s">
        <v>30</v>
      </c>
      <c r="D7" s="13" t="s">
        <v>101</v>
      </c>
      <c r="E7" s="20" t="s">
        <v>90</v>
      </c>
      <c r="F7" s="22" t="s">
        <v>133</v>
      </c>
      <c r="G7" s="23" t="s">
        <v>134</v>
      </c>
      <c r="H7" s="62" t="s">
        <v>135</v>
      </c>
    </row>
    <row r="8" spans="1:9" ht="30" x14ac:dyDescent="0.25">
      <c r="A8" s="11"/>
      <c r="B8" s="71" t="s">
        <v>47</v>
      </c>
      <c r="C8" s="12">
        <v>2</v>
      </c>
      <c r="D8" s="13">
        <v>2</v>
      </c>
      <c r="E8" s="20">
        <v>2</v>
      </c>
      <c r="F8" s="22" t="s">
        <v>34</v>
      </c>
      <c r="G8" s="23" t="s">
        <v>108</v>
      </c>
      <c r="H8" s="62" t="s">
        <v>109</v>
      </c>
    </row>
    <row r="9" spans="1:9" x14ac:dyDescent="0.25">
      <c r="A9" s="11"/>
      <c r="B9" s="72" t="s">
        <v>48</v>
      </c>
      <c r="C9" s="12">
        <v>1</v>
      </c>
      <c r="D9" s="13">
        <v>1</v>
      </c>
      <c r="E9" s="20">
        <v>1</v>
      </c>
      <c r="F9" s="22"/>
      <c r="G9" s="23"/>
      <c r="H9" s="62"/>
    </row>
    <row r="10" spans="1:9" ht="30.75" thickBot="1" x14ac:dyDescent="0.3">
      <c r="A10" s="27"/>
      <c r="B10" s="37" t="s">
        <v>20</v>
      </c>
      <c r="C10" s="17" t="s">
        <v>21</v>
      </c>
      <c r="D10" s="52" t="s">
        <v>21</v>
      </c>
      <c r="E10" s="19" t="s">
        <v>21</v>
      </c>
      <c r="F10" s="54" t="s">
        <v>93</v>
      </c>
      <c r="G10" s="56" t="s">
        <v>94</v>
      </c>
      <c r="H10" s="63" t="s">
        <v>95</v>
      </c>
    </row>
    <row r="11" spans="1:9" ht="30.75" thickBot="1" x14ac:dyDescent="0.3">
      <c r="A11" s="43">
        <v>5</v>
      </c>
      <c r="B11" s="44" t="s">
        <v>6</v>
      </c>
      <c r="C11" s="82" t="s">
        <v>12</v>
      </c>
      <c r="D11" s="83" t="s">
        <v>12</v>
      </c>
      <c r="E11" s="84" t="s">
        <v>12</v>
      </c>
      <c r="F11" s="22" t="s">
        <v>35</v>
      </c>
      <c r="G11" s="23" t="s">
        <v>102</v>
      </c>
      <c r="H11" s="62" t="s">
        <v>103</v>
      </c>
    </row>
    <row r="12" spans="1:9" ht="45" x14ac:dyDescent="0.25">
      <c r="A12" s="38">
        <v>6</v>
      </c>
      <c r="B12" s="48" t="s">
        <v>112</v>
      </c>
      <c r="C12" s="49" t="s">
        <v>54</v>
      </c>
      <c r="D12" s="50" t="s">
        <v>54</v>
      </c>
      <c r="E12" s="51" t="s">
        <v>54</v>
      </c>
      <c r="F12" s="207" t="s">
        <v>218</v>
      </c>
      <c r="G12" s="210" t="s">
        <v>219</v>
      </c>
      <c r="H12" s="213" t="s">
        <v>219</v>
      </c>
      <c r="I12" s="5"/>
    </row>
    <row r="13" spans="1:9" x14ac:dyDescent="0.25">
      <c r="A13" s="11"/>
      <c r="B13" s="72" t="s">
        <v>55</v>
      </c>
      <c r="C13" s="12" t="s">
        <v>104</v>
      </c>
      <c r="D13" s="13" t="s">
        <v>105</v>
      </c>
      <c r="E13" s="20" t="s">
        <v>105</v>
      </c>
      <c r="F13" s="208"/>
      <c r="G13" s="211"/>
      <c r="H13" s="214"/>
      <c r="I13" s="5"/>
    </row>
    <row r="14" spans="1:9" ht="30" x14ac:dyDescent="0.25">
      <c r="A14" s="11"/>
      <c r="B14" s="71" t="s">
        <v>56</v>
      </c>
      <c r="C14" s="14">
        <v>2</v>
      </c>
      <c r="D14" s="15">
        <v>2</v>
      </c>
      <c r="E14" s="21">
        <v>2</v>
      </c>
      <c r="F14" s="208" t="s">
        <v>220</v>
      </c>
      <c r="G14" s="211" t="s">
        <v>221</v>
      </c>
      <c r="H14" s="214" t="s">
        <v>221</v>
      </c>
      <c r="I14" s="5"/>
    </row>
    <row r="15" spans="1:9" ht="15.75" thickBot="1" x14ac:dyDescent="0.3">
      <c r="A15" s="27"/>
      <c r="B15" s="28" t="s">
        <v>2</v>
      </c>
      <c r="C15" s="29" t="s">
        <v>57</v>
      </c>
      <c r="D15" s="30" t="s">
        <v>84</v>
      </c>
      <c r="E15" s="31" t="s">
        <v>84</v>
      </c>
      <c r="F15" s="209"/>
      <c r="G15" s="212"/>
      <c r="H15" s="215"/>
      <c r="I15" s="5"/>
    </row>
    <row r="16" spans="1:9" ht="30" x14ac:dyDescent="0.25">
      <c r="A16" s="38">
        <v>7</v>
      </c>
      <c r="B16" s="39" t="s">
        <v>61</v>
      </c>
      <c r="C16" s="49" t="s">
        <v>229</v>
      </c>
      <c r="D16" s="50" t="s">
        <v>229</v>
      </c>
      <c r="E16" s="51" t="s">
        <v>229</v>
      </c>
      <c r="F16" s="49" t="s">
        <v>230</v>
      </c>
      <c r="G16" s="50" t="s">
        <v>230</v>
      </c>
      <c r="H16" s="51" t="s">
        <v>230</v>
      </c>
    </row>
    <row r="17" spans="1:12" ht="30" x14ac:dyDescent="0.25">
      <c r="A17" s="11"/>
      <c r="B17" s="7"/>
      <c r="C17" s="14" t="s">
        <v>23</v>
      </c>
      <c r="D17" s="15" t="s">
        <v>23</v>
      </c>
      <c r="E17" s="21" t="s">
        <v>23</v>
      </c>
      <c r="F17" s="73" t="s">
        <v>71</v>
      </c>
      <c r="G17" s="74" t="s">
        <v>72</v>
      </c>
      <c r="H17" s="75" t="s">
        <v>73</v>
      </c>
    </row>
    <row r="18" spans="1:12" ht="75.75" thickBot="1" x14ac:dyDescent="0.3">
      <c r="A18" s="64"/>
      <c r="B18" s="65"/>
      <c r="C18" s="66" t="s">
        <v>22</v>
      </c>
      <c r="D18" s="67" t="s">
        <v>22</v>
      </c>
      <c r="E18" s="68" t="s">
        <v>22</v>
      </c>
      <c r="F18" s="95" t="s">
        <v>138</v>
      </c>
      <c r="G18" s="96" t="s">
        <v>138</v>
      </c>
      <c r="H18" s="97" t="s">
        <v>138</v>
      </c>
    </row>
    <row r="19" spans="1:12" x14ac:dyDescent="0.25">
      <c r="B19" s="58"/>
      <c r="C19" s="80"/>
      <c r="D19" s="80"/>
      <c r="E19" s="80"/>
      <c r="F19" s="79"/>
      <c r="G19" s="79"/>
      <c r="H19" s="79"/>
      <c r="I19" s="220"/>
      <c r="J19" s="78"/>
      <c r="K19" s="78"/>
      <c r="L19" s="78"/>
    </row>
    <row r="20" spans="1:12" x14ac:dyDescent="0.25">
      <c r="F20" s="79"/>
      <c r="G20" s="79"/>
      <c r="H20" s="79"/>
      <c r="I20" s="220"/>
      <c r="J20" s="78"/>
      <c r="K20" s="78"/>
      <c r="L20" s="78"/>
    </row>
    <row r="21" spans="1:12" x14ac:dyDescent="0.25">
      <c r="A21" s="70">
        <v>1</v>
      </c>
      <c r="B21" s="57" t="s">
        <v>157</v>
      </c>
      <c r="F21" s="79"/>
      <c r="G21" s="79"/>
      <c r="H21" s="79"/>
      <c r="I21" s="227"/>
      <c r="J21" s="78"/>
      <c r="K21" s="78"/>
      <c r="L21" s="78"/>
    </row>
    <row r="22" spans="1:12" x14ac:dyDescent="0.25">
      <c r="A22" s="70">
        <v>2</v>
      </c>
      <c r="B22" s="57" t="s">
        <v>29</v>
      </c>
      <c r="F22" s="79"/>
      <c r="G22" s="79"/>
      <c r="H22" s="79"/>
      <c r="I22" s="78"/>
      <c r="J22" s="78"/>
      <c r="K22" s="78"/>
      <c r="L22" s="78"/>
    </row>
    <row r="23" spans="1:12" x14ac:dyDescent="0.25">
      <c r="A23" s="70">
        <v>3</v>
      </c>
      <c r="B23" s="59" t="s">
        <v>68</v>
      </c>
      <c r="C23" s="58"/>
      <c r="D23" s="58"/>
      <c r="E23" s="58"/>
      <c r="F23" s="79"/>
      <c r="G23" s="85"/>
      <c r="H23" s="79"/>
      <c r="I23" s="78"/>
      <c r="J23" s="78"/>
      <c r="K23" s="78"/>
      <c r="L23" s="78"/>
    </row>
    <row r="24" spans="1:12" x14ac:dyDescent="0.25">
      <c r="A24" s="70">
        <v>4</v>
      </c>
      <c r="B24" s="57" t="s">
        <v>89</v>
      </c>
      <c r="C24" s="23"/>
      <c r="D24" s="24"/>
      <c r="E24" s="24"/>
      <c r="F24" s="76"/>
      <c r="G24" s="76"/>
      <c r="H24" s="76"/>
    </row>
    <row r="25" spans="1:12" x14ac:dyDescent="0.25">
      <c r="A25" s="70">
        <v>5</v>
      </c>
      <c r="B25" s="57" t="s">
        <v>100</v>
      </c>
    </row>
    <row r="26" spans="1:12" x14ac:dyDescent="0.25">
      <c r="A26" s="70">
        <v>6</v>
      </c>
      <c r="B26" t="s">
        <v>106</v>
      </c>
    </row>
    <row r="27" spans="1:12" x14ac:dyDescent="0.25">
      <c r="A27" s="70">
        <v>7</v>
      </c>
      <c r="B27" s="57" t="s">
        <v>74</v>
      </c>
      <c r="C27" s="77">
        <f>(54300*0.1+54300*0.1*0.48+(54300*0.1+54300*0.1*0.48)*0.52264)*12</f>
        <v>146838.529152</v>
      </c>
      <c r="D27" s="219" t="s">
        <v>83</v>
      </c>
      <c r="F27" s="79"/>
      <c r="G27" s="79"/>
      <c r="H27" s="79"/>
    </row>
    <row r="28" spans="1:12" x14ac:dyDescent="0.25">
      <c r="A28" s="70">
        <v>8</v>
      </c>
      <c r="B28" s="57" t="s">
        <v>75</v>
      </c>
      <c r="C28" s="77">
        <f>(54300*0.15+54300*0.15*0.48+(54300*0.15+54300*0.15*0.48)*0.52264)*12</f>
        <v>220257.79372800002</v>
      </c>
      <c r="D28" s="219"/>
      <c r="F28" s="79"/>
      <c r="G28" s="79"/>
      <c r="H28" s="79"/>
    </row>
    <row r="29" spans="1:12" x14ac:dyDescent="0.25">
      <c r="A29" s="70">
        <v>9</v>
      </c>
      <c r="B29" s="57" t="s">
        <v>88</v>
      </c>
    </row>
    <row r="30" spans="1:12" x14ac:dyDescent="0.25">
      <c r="A30" s="70">
        <v>10</v>
      </c>
      <c r="B30" s="57" t="s">
        <v>87</v>
      </c>
    </row>
    <row r="31" spans="1:12" x14ac:dyDescent="0.25">
      <c r="A31" s="70">
        <v>11</v>
      </c>
      <c r="B31" s="57" t="s">
        <v>107</v>
      </c>
    </row>
    <row r="32" spans="1:12" x14ac:dyDescent="0.25">
      <c r="A32" s="70">
        <v>12</v>
      </c>
      <c r="B32" s="57" t="s">
        <v>113</v>
      </c>
    </row>
    <row r="33" spans="1:9" x14ac:dyDescent="0.25">
      <c r="A33" s="70">
        <v>13</v>
      </c>
      <c r="B33" s="57" t="s">
        <v>137</v>
      </c>
    </row>
    <row r="34" spans="1:9" ht="45" x14ac:dyDescent="0.25">
      <c r="F34" s="98" t="s">
        <v>142</v>
      </c>
      <c r="G34" s="98" t="s">
        <v>143</v>
      </c>
      <c r="H34" s="98" t="s">
        <v>144</v>
      </c>
      <c r="I34" s="99" t="s">
        <v>91</v>
      </c>
    </row>
    <row r="35" spans="1:9" ht="45" x14ac:dyDescent="0.25">
      <c r="F35" s="98" t="s">
        <v>150</v>
      </c>
      <c r="G35" s="98" t="s">
        <v>151</v>
      </c>
      <c r="H35" s="98" t="s">
        <v>152</v>
      </c>
      <c r="I35" s="99" t="s">
        <v>92</v>
      </c>
    </row>
    <row r="36" spans="1:9" x14ac:dyDescent="0.25">
      <c r="F36" s="113" t="s">
        <v>154</v>
      </c>
      <c r="G36" s="113" t="s">
        <v>156</v>
      </c>
      <c r="H36" s="113" t="s">
        <v>156</v>
      </c>
      <c r="I36" s="114" t="s">
        <v>155</v>
      </c>
    </row>
  </sheetData>
  <mergeCells count="9">
    <mergeCell ref="D27:D28"/>
    <mergeCell ref="C1:E1"/>
    <mergeCell ref="F1:H1"/>
    <mergeCell ref="F12:F13"/>
    <mergeCell ref="G12:G13"/>
    <mergeCell ref="H12:H13"/>
    <mergeCell ref="F14:F15"/>
    <mergeCell ref="G14:G15"/>
    <mergeCell ref="H14:H1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4CCE5-BF11-4036-9DDB-92AE312ED0C6}">
  <dimension ref="A1:L37"/>
  <sheetViews>
    <sheetView zoomScale="85" zoomScaleNormal="85" workbookViewId="0"/>
  </sheetViews>
  <sheetFormatPr defaultRowHeight="15" x14ac:dyDescent="0.25"/>
  <cols>
    <col min="1" max="1" width="3" bestFit="1" customWidth="1"/>
    <col min="2" max="2" width="34.28515625" customWidth="1"/>
    <col min="3" max="3" width="35" customWidth="1"/>
    <col min="4" max="4" width="29.5703125" customWidth="1"/>
    <col min="5" max="5" width="34.5703125" customWidth="1"/>
    <col min="6" max="6" width="44.85546875" customWidth="1"/>
    <col min="7" max="7" width="37.7109375" customWidth="1"/>
    <col min="8" max="8" width="37.42578125" customWidth="1"/>
    <col min="9" max="9" width="135.42578125" bestFit="1" customWidth="1"/>
  </cols>
  <sheetData>
    <row r="1" spans="1:9" ht="15.75" thickBot="1" x14ac:dyDescent="0.3">
      <c r="A1" s="4"/>
      <c r="B1" s="4"/>
      <c r="C1" s="202" t="s">
        <v>169</v>
      </c>
      <c r="D1" s="203"/>
      <c r="E1" s="203"/>
      <c r="F1" s="204" t="s">
        <v>24</v>
      </c>
      <c r="G1" s="205"/>
      <c r="H1" s="206"/>
    </row>
    <row r="2" spans="1:9" ht="60.75" thickBot="1" x14ac:dyDescent="0.3">
      <c r="A2" s="4"/>
      <c r="B2" s="81" t="s">
        <v>163</v>
      </c>
      <c r="C2" s="2" t="s">
        <v>164</v>
      </c>
      <c r="D2" s="3" t="s">
        <v>165</v>
      </c>
      <c r="E2" s="26" t="s">
        <v>166</v>
      </c>
      <c r="F2" s="2" t="s">
        <v>164</v>
      </c>
      <c r="G2" s="3" t="s">
        <v>165</v>
      </c>
      <c r="H2" s="26" t="s">
        <v>166</v>
      </c>
    </row>
    <row r="3" spans="1:9" x14ac:dyDescent="0.25">
      <c r="A3" s="10">
        <v>1</v>
      </c>
      <c r="B3" s="6" t="s">
        <v>3</v>
      </c>
      <c r="C3" s="8" t="s">
        <v>96</v>
      </c>
      <c r="D3" s="52" t="s">
        <v>114</v>
      </c>
      <c r="E3" s="19" t="s">
        <v>117</v>
      </c>
      <c r="F3" s="8"/>
      <c r="G3" s="52"/>
      <c r="H3" s="60"/>
    </row>
    <row r="4" spans="1:9" x14ac:dyDescent="0.25">
      <c r="A4" s="11">
        <v>2</v>
      </c>
      <c r="B4" s="7" t="s">
        <v>4</v>
      </c>
      <c r="C4" s="12" t="s">
        <v>115</v>
      </c>
      <c r="D4" s="13" t="s">
        <v>116</v>
      </c>
      <c r="E4" s="20" t="s">
        <v>116</v>
      </c>
      <c r="F4" s="12"/>
      <c r="G4" s="13"/>
      <c r="H4" s="20"/>
    </row>
    <row r="5" spans="1:9" ht="15.75" thickBot="1" x14ac:dyDescent="0.3">
      <c r="A5" s="27">
        <v>3</v>
      </c>
      <c r="B5" s="28" t="s">
        <v>5</v>
      </c>
      <c r="C5" s="29" t="s">
        <v>11</v>
      </c>
      <c r="D5" s="30" t="s">
        <v>11</v>
      </c>
      <c r="E5" s="30" t="s">
        <v>11</v>
      </c>
      <c r="F5" s="29"/>
      <c r="G5" s="30"/>
      <c r="H5" s="31"/>
    </row>
    <row r="6" spans="1:9" x14ac:dyDescent="0.25">
      <c r="A6" s="32">
        <v>4</v>
      </c>
      <c r="B6" s="33" t="s">
        <v>25</v>
      </c>
      <c r="C6" s="34"/>
      <c r="D6" s="35"/>
      <c r="E6" s="36"/>
      <c r="F6" s="86"/>
      <c r="G6" s="87"/>
      <c r="H6" s="88"/>
    </row>
    <row r="7" spans="1:9" ht="45" x14ac:dyDescent="0.25">
      <c r="A7" s="11"/>
      <c r="B7" s="71" t="s">
        <v>46</v>
      </c>
      <c r="C7" s="12" t="s">
        <v>30</v>
      </c>
      <c r="D7" s="13" t="s">
        <v>101</v>
      </c>
      <c r="E7" s="20" t="s">
        <v>90</v>
      </c>
      <c r="F7" s="89" t="s">
        <v>130</v>
      </c>
      <c r="G7" s="90" t="s">
        <v>132</v>
      </c>
      <c r="H7" s="91" t="s">
        <v>131</v>
      </c>
    </row>
    <row r="8" spans="1:9" ht="30" x14ac:dyDescent="0.25">
      <c r="A8" s="11"/>
      <c r="B8" s="71" t="s">
        <v>47</v>
      </c>
      <c r="C8" s="12">
        <v>2</v>
      </c>
      <c r="D8" s="13">
        <v>2</v>
      </c>
      <c r="E8" s="20">
        <v>2</v>
      </c>
      <c r="F8" s="89" t="s">
        <v>118</v>
      </c>
      <c r="G8" s="90" t="s">
        <v>119</v>
      </c>
      <c r="H8" s="91" t="s">
        <v>120</v>
      </c>
    </row>
    <row r="9" spans="1:9" x14ac:dyDescent="0.25">
      <c r="A9" s="11"/>
      <c r="B9" s="72" t="s">
        <v>48</v>
      </c>
      <c r="C9" s="12">
        <v>1</v>
      </c>
      <c r="D9" s="13">
        <v>1</v>
      </c>
      <c r="E9" s="20">
        <v>1</v>
      </c>
      <c r="F9" s="89"/>
      <c r="G9" s="90"/>
      <c r="H9" s="91"/>
    </row>
    <row r="10" spans="1:9" ht="30.75" thickBot="1" x14ac:dyDescent="0.3">
      <c r="A10" s="27"/>
      <c r="B10" s="37" t="s">
        <v>20</v>
      </c>
      <c r="C10" s="17" t="s">
        <v>21</v>
      </c>
      <c r="D10" s="52" t="s">
        <v>21</v>
      </c>
      <c r="E10" s="19" t="s">
        <v>21</v>
      </c>
      <c r="F10" s="92" t="s">
        <v>93</v>
      </c>
      <c r="G10" s="93" t="s">
        <v>94</v>
      </c>
      <c r="H10" s="94" t="s">
        <v>95</v>
      </c>
    </row>
    <row r="11" spans="1:9" ht="30.75" thickBot="1" x14ac:dyDescent="0.3">
      <c r="A11" s="43">
        <v>5</v>
      </c>
      <c r="B11" s="44" t="s">
        <v>6</v>
      </c>
      <c r="C11" s="82" t="s">
        <v>12</v>
      </c>
      <c r="D11" s="83" t="s">
        <v>12</v>
      </c>
      <c r="E11" s="84" t="s">
        <v>12</v>
      </c>
      <c r="F11" s="22" t="s">
        <v>121</v>
      </c>
      <c r="G11" s="23" t="s">
        <v>122</v>
      </c>
      <c r="H11" s="62" t="s">
        <v>123</v>
      </c>
    </row>
    <row r="12" spans="1:9" ht="45" customHeight="1" x14ac:dyDescent="0.25">
      <c r="A12" s="38">
        <v>6</v>
      </c>
      <c r="B12" s="48" t="s">
        <v>112</v>
      </c>
      <c r="C12" s="49" t="s">
        <v>54</v>
      </c>
      <c r="D12" s="50" t="s">
        <v>54</v>
      </c>
      <c r="E12" s="51" t="s">
        <v>54</v>
      </c>
      <c r="F12" s="207" t="s">
        <v>218</v>
      </c>
      <c r="G12" s="210"/>
      <c r="H12" s="213"/>
      <c r="I12" s="5"/>
    </row>
    <row r="13" spans="1:9" x14ac:dyDescent="0.25">
      <c r="A13" s="11"/>
      <c r="B13" s="72" t="s">
        <v>55</v>
      </c>
      <c r="C13" s="12" t="s">
        <v>104</v>
      </c>
      <c r="D13" s="13" t="s">
        <v>104</v>
      </c>
      <c r="E13" s="20" t="s">
        <v>104</v>
      </c>
      <c r="F13" s="208"/>
      <c r="G13" s="211"/>
      <c r="H13" s="214"/>
      <c r="I13" s="5"/>
    </row>
    <row r="14" spans="1:9" ht="30" customHeight="1" x14ac:dyDescent="0.25">
      <c r="A14" s="11"/>
      <c r="B14" s="71" t="s">
        <v>56</v>
      </c>
      <c r="C14" s="14">
        <v>2</v>
      </c>
      <c r="D14" s="15">
        <v>2</v>
      </c>
      <c r="E14" s="21">
        <v>2</v>
      </c>
      <c r="F14" s="208" t="s">
        <v>220</v>
      </c>
      <c r="G14" s="211"/>
      <c r="H14" s="214"/>
      <c r="I14" s="5"/>
    </row>
    <row r="15" spans="1:9" ht="15.75" thickBot="1" x14ac:dyDescent="0.3">
      <c r="A15" s="27"/>
      <c r="B15" s="28" t="s">
        <v>2</v>
      </c>
      <c r="C15" s="29" t="s">
        <v>57</v>
      </c>
      <c r="D15" s="30" t="s">
        <v>57</v>
      </c>
      <c r="E15" s="31" t="s">
        <v>57</v>
      </c>
      <c r="F15" s="209"/>
      <c r="G15" s="212"/>
      <c r="H15" s="215"/>
      <c r="I15" s="5"/>
    </row>
    <row r="16" spans="1:9" ht="30" x14ac:dyDescent="0.25">
      <c r="A16" s="38">
        <v>7</v>
      </c>
      <c r="B16" s="39" t="s">
        <v>61</v>
      </c>
      <c r="C16" s="49" t="s">
        <v>232</v>
      </c>
      <c r="D16" s="50" t="s">
        <v>232</v>
      </c>
      <c r="E16" s="51" t="s">
        <v>232</v>
      </c>
      <c r="F16" s="49" t="s">
        <v>231</v>
      </c>
      <c r="G16" s="50" t="s">
        <v>231</v>
      </c>
      <c r="H16" s="51" t="s">
        <v>231</v>
      </c>
    </row>
    <row r="17" spans="1:12" ht="30" x14ac:dyDescent="0.25">
      <c r="A17" s="11"/>
      <c r="B17" s="7"/>
      <c r="C17" s="14" t="s">
        <v>23</v>
      </c>
      <c r="D17" s="15" t="s">
        <v>23</v>
      </c>
      <c r="E17" s="21" t="s">
        <v>23</v>
      </c>
      <c r="F17" s="73" t="s">
        <v>71</v>
      </c>
      <c r="G17" s="74" t="s">
        <v>72</v>
      </c>
      <c r="H17" s="75" t="s">
        <v>73</v>
      </c>
    </row>
    <row r="18" spans="1:12" ht="75.75" thickBot="1" x14ac:dyDescent="0.3">
      <c r="A18" s="64"/>
      <c r="B18" s="65"/>
      <c r="C18" s="66" t="s">
        <v>22</v>
      </c>
      <c r="D18" s="67" t="s">
        <v>22</v>
      </c>
      <c r="E18" s="68" t="s">
        <v>22</v>
      </c>
      <c r="F18" s="95" t="s">
        <v>138</v>
      </c>
      <c r="G18" s="96" t="s">
        <v>138</v>
      </c>
      <c r="H18" s="97" t="s">
        <v>138</v>
      </c>
    </row>
    <row r="19" spans="1:12" x14ac:dyDescent="0.25">
      <c r="B19" s="58"/>
      <c r="C19" s="80"/>
      <c r="D19" s="80"/>
      <c r="E19" s="80"/>
      <c r="F19" s="79"/>
      <c r="G19" s="79"/>
      <c r="H19" s="79"/>
      <c r="I19" s="220"/>
      <c r="J19" s="78"/>
      <c r="K19" s="78"/>
      <c r="L19" s="78"/>
    </row>
    <row r="20" spans="1:12" x14ac:dyDescent="0.25">
      <c r="F20" s="79"/>
      <c r="G20" s="79"/>
      <c r="H20" s="79"/>
      <c r="I20" s="220"/>
      <c r="J20" s="78"/>
      <c r="K20" s="78"/>
      <c r="L20" s="78"/>
    </row>
    <row r="21" spans="1:12" x14ac:dyDescent="0.25">
      <c r="A21" s="70">
        <v>1</v>
      </c>
      <c r="B21" s="57" t="s">
        <v>157</v>
      </c>
      <c r="F21" s="79"/>
      <c r="G21" s="79"/>
      <c r="H21" s="79"/>
      <c r="I21" s="227"/>
      <c r="J21" s="78"/>
      <c r="K21" s="78"/>
      <c r="L21" s="78"/>
    </row>
    <row r="22" spans="1:12" x14ac:dyDescent="0.25">
      <c r="A22" s="70">
        <v>2</v>
      </c>
      <c r="B22" s="57" t="s">
        <v>29</v>
      </c>
      <c r="F22" s="79"/>
      <c r="G22" s="79"/>
      <c r="H22" s="79"/>
      <c r="I22" s="78"/>
      <c r="J22" s="78"/>
      <c r="K22" s="78"/>
      <c r="L22" s="78"/>
    </row>
    <row r="23" spans="1:12" x14ac:dyDescent="0.25">
      <c r="A23" s="70">
        <v>3</v>
      </c>
      <c r="B23" s="59" t="s">
        <v>68</v>
      </c>
      <c r="C23" s="58"/>
      <c r="D23" s="58"/>
      <c r="E23" s="58"/>
      <c r="F23" s="79"/>
      <c r="G23" s="85"/>
      <c r="H23" s="79"/>
      <c r="I23" s="78"/>
      <c r="J23" s="78"/>
      <c r="K23" s="78"/>
      <c r="L23" s="78"/>
    </row>
    <row r="24" spans="1:12" x14ac:dyDescent="0.25">
      <c r="A24" s="70">
        <v>4</v>
      </c>
      <c r="B24" s="57" t="s">
        <v>89</v>
      </c>
      <c r="C24" s="23"/>
      <c r="D24" s="24"/>
      <c r="E24" s="24"/>
      <c r="F24" s="76"/>
      <c r="G24" s="76"/>
      <c r="H24" s="76"/>
    </row>
    <row r="25" spans="1:12" x14ac:dyDescent="0.25">
      <c r="A25" s="70">
        <v>5</v>
      </c>
      <c r="B25" s="57" t="s">
        <v>100</v>
      </c>
    </row>
    <row r="26" spans="1:12" x14ac:dyDescent="0.25">
      <c r="A26" s="70">
        <v>6</v>
      </c>
      <c r="B26" t="s">
        <v>106</v>
      </c>
    </row>
    <row r="27" spans="1:12" x14ac:dyDescent="0.25">
      <c r="A27" s="70">
        <v>7</v>
      </c>
      <c r="B27" s="57" t="s">
        <v>74</v>
      </c>
      <c r="C27" s="77">
        <f>(54300*0.1+54300*0.1*0.48+(54300*0.1+54300*0.1*0.48)*0.52264)*12</f>
        <v>146838.529152</v>
      </c>
      <c r="D27" s="219" t="s">
        <v>83</v>
      </c>
      <c r="F27" s="79"/>
      <c r="G27" s="79"/>
      <c r="H27" s="79"/>
    </row>
    <row r="28" spans="1:12" x14ac:dyDescent="0.25">
      <c r="A28" s="70">
        <v>8</v>
      </c>
      <c r="B28" s="57" t="s">
        <v>75</v>
      </c>
      <c r="C28" s="77">
        <f>(54300*0.15+54300*0.15*0.48+(54300*0.15+54300*0.15*0.48)*0.52264)*12</f>
        <v>220257.79372800002</v>
      </c>
      <c r="D28" s="219"/>
      <c r="F28" s="79"/>
      <c r="G28" s="79"/>
      <c r="H28" s="79"/>
    </row>
    <row r="29" spans="1:12" x14ac:dyDescent="0.25">
      <c r="A29" s="70">
        <v>9</v>
      </c>
      <c r="B29" s="57" t="s">
        <v>88</v>
      </c>
      <c r="F29" t="s">
        <v>136</v>
      </c>
    </row>
    <row r="30" spans="1:12" x14ac:dyDescent="0.25">
      <c r="A30" s="70">
        <v>10</v>
      </c>
      <c r="B30" s="57" t="s">
        <v>87</v>
      </c>
    </row>
    <row r="31" spans="1:12" x14ac:dyDescent="0.25">
      <c r="A31" s="70">
        <v>11</v>
      </c>
      <c r="B31" s="57" t="s">
        <v>107</v>
      </c>
    </row>
    <row r="32" spans="1:12" x14ac:dyDescent="0.25">
      <c r="A32" s="70">
        <v>12</v>
      </c>
      <c r="B32" s="57" t="s">
        <v>113</v>
      </c>
    </row>
    <row r="33" spans="1:9" x14ac:dyDescent="0.25">
      <c r="A33" s="70">
        <v>13</v>
      </c>
      <c r="B33" s="57" t="s">
        <v>137</v>
      </c>
    </row>
    <row r="35" spans="1:9" ht="45" x14ac:dyDescent="0.25">
      <c r="F35" s="98" t="s">
        <v>142</v>
      </c>
      <c r="G35" s="98" t="s">
        <v>143</v>
      </c>
      <c r="H35" s="98" t="s">
        <v>144</v>
      </c>
      <c r="I35" s="99" t="s">
        <v>91</v>
      </c>
    </row>
    <row r="36" spans="1:9" ht="45" x14ac:dyDescent="0.25">
      <c r="F36" s="98" t="s">
        <v>150</v>
      </c>
      <c r="G36" s="98" t="s">
        <v>151</v>
      </c>
      <c r="H36" s="98" t="s">
        <v>152</v>
      </c>
      <c r="I36" s="99" t="s">
        <v>92</v>
      </c>
    </row>
    <row r="37" spans="1:9" x14ac:dyDescent="0.25">
      <c r="F37" s="113" t="s">
        <v>154</v>
      </c>
      <c r="G37" s="113" t="s">
        <v>156</v>
      </c>
      <c r="H37" s="113" t="s">
        <v>156</v>
      </c>
      <c r="I37" s="114" t="s">
        <v>155</v>
      </c>
    </row>
  </sheetData>
  <mergeCells count="5">
    <mergeCell ref="D27:D28"/>
    <mergeCell ref="F12:H13"/>
    <mergeCell ref="F14:H15"/>
    <mergeCell ref="C1:E1"/>
    <mergeCell ref="F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Total costs</vt:lpstr>
      <vt:lpstr>Itemized costs</vt:lpstr>
      <vt:lpstr>Parnassius apollo</vt:lpstr>
      <vt:lpstr>Pieris napi</vt:lpstr>
      <vt:lpstr>Hymenoptera priority 1-3</vt:lpstr>
      <vt:lpstr>Hymenoptera priority 4-6</vt:lpstr>
      <vt:lpstr>Hymenoptera priority 7-10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Posledovich</dc:creator>
  <cp:lastModifiedBy>Diana Posledovich</cp:lastModifiedBy>
  <cp:lastPrinted>2020-03-10T09:29:05Z</cp:lastPrinted>
  <dcterms:created xsi:type="dcterms:W3CDTF">2020-03-04T13:47:25Z</dcterms:created>
  <dcterms:modified xsi:type="dcterms:W3CDTF">2020-09-16T12:43:46Z</dcterms:modified>
</cp:coreProperties>
</file>